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Weekly Count" state="visible" r:id="rId4"/>
    <sheet sheetId="2" name="📊 Dashboard" state="visible" r:id="rId5"/>
    <sheet sheetId="3" name="How to Use" state="visible" r:id="rId6"/>
  </sheets>
  <calcPr calcId="171027"/>
</workbook>
</file>

<file path=xl/sharedStrings.xml><?xml version="1.0" encoding="utf-8"?>
<sst xmlns="http://schemas.openxmlformats.org/spreadsheetml/2006/main" count="311" uniqueCount="176">
  <si>
    <t>🍽  ResLoom — Restaurant Inventory Tracking Template  (v3)</t>
  </si>
  <si>
    <t>Week of:</t>
  </si>
  <si>
    <t>Restaurant / Location:</t>
  </si>
  <si>
    <t>Weekly Food Revenue ($):</t>
  </si>
  <si>
    <t>Food Cost %:</t>
  </si>
  <si>
    <t xml:space="preserve">  INSTRUCTIONS:  White cells = enter data.  Yellow (J) = Par Level.  Blue (K–N) = protected formulas.  Red ⚠ ORDER = restock needed.  See "How to Use" tab.</t>
  </si>
  <si>
    <t>Category</t>
  </si>
  <si>
    <t>Item Name</t>
  </si>
  <si>
    <t>Unit</t>
  </si>
  <si>
    <t>Unit Cost ($)</t>
  </si>
  <si>
    <t>Supplier</t>
  </si>
  <si>
    <t>Expiry Date</t>
  </si>
  <si>
    <t>Begin. Qty</t>
  </si>
  <si>
    <t>Purchases</t>
  </si>
  <si>
    <t>End Qty</t>
  </si>
  <si>
    <t>Par Level ⚠</t>
  </si>
  <si>
    <t>Actual Usage</t>
  </si>
  <si>
    <t>Total Value ($)</t>
  </si>
  <si>
    <t>COGS ($)</t>
  </si>
  <si>
    <t>Reorder Alert</t>
  </si>
  <si>
    <t>Notes</t>
  </si>
  <si>
    <t xml:space="preserve">  PRODUCE</t>
  </si>
  <si>
    <t>Produce</t>
  </si>
  <si>
    <t>Roma Tomatoes</t>
  </si>
  <si>
    <t>lb</t>
  </si>
  <si>
    <t>Fresh Farms Co</t>
  </si>
  <si>
    <t>2026-04-22</t>
  </si>
  <si>
    <t/>
  </si>
  <si>
    <t>Iceberg Lettuce</t>
  </si>
  <si>
    <t>head</t>
  </si>
  <si>
    <t>2026-04-20</t>
  </si>
  <si>
    <t>Yellow Onions</t>
  </si>
  <si>
    <t>2026-04-28</t>
  </si>
  <si>
    <t>Russet Potatoes</t>
  </si>
  <si>
    <t>2026-05-10</t>
  </si>
  <si>
    <t xml:space="preserve">  MEAT &amp; SEAFOOD</t>
  </si>
  <si>
    <t>Meat &amp; Seafood</t>
  </si>
  <si>
    <t>Beef Patty 4oz</t>
  </si>
  <si>
    <t>each</t>
  </si>
  <si>
    <t>City Meats</t>
  </si>
  <si>
    <t>2026-04-18</t>
  </si>
  <si>
    <t>Chicken Breast</t>
  </si>
  <si>
    <t>2026-04-17</t>
  </si>
  <si>
    <t>Bacon Strips</t>
  </si>
  <si>
    <t>2026-04-19</t>
  </si>
  <si>
    <t>Atlantic Salmon</t>
  </si>
  <si>
    <t>Ocean Fresh</t>
  </si>
  <si>
    <t>Shrimp 16/20</t>
  </si>
  <si>
    <t xml:space="preserve">  DAIRY &amp; EGGS</t>
  </si>
  <si>
    <t>Dairy &amp; Eggs</t>
  </si>
  <si>
    <t>Large Eggs</t>
  </si>
  <si>
    <t>Dairy Direct</t>
  </si>
  <si>
    <t>2026-04-25</t>
  </si>
  <si>
    <t>Cheddar Slices</t>
  </si>
  <si>
    <t>2026-04-21</t>
  </si>
  <si>
    <t>Whole Milk</t>
  </si>
  <si>
    <t>gallon</t>
  </si>
  <si>
    <t>Butter</t>
  </si>
  <si>
    <t>2026-04-30</t>
  </si>
  <si>
    <t>Heavy Cream</t>
  </si>
  <si>
    <t>qt</t>
  </si>
  <si>
    <t xml:space="preserve">  DRY GOODS &amp; SPICES</t>
  </si>
  <si>
    <t>Dry Goods &amp; Spices</t>
  </si>
  <si>
    <t>Burger Buns</t>
  </si>
  <si>
    <t>Bread Works</t>
  </si>
  <si>
    <t>All-Purpose Flour</t>
  </si>
  <si>
    <t>Sysco</t>
  </si>
  <si>
    <t>2026-05-30</t>
  </si>
  <si>
    <t>Kosher Salt</t>
  </si>
  <si>
    <t>Black Pepper</t>
  </si>
  <si>
    <t>Olive Oil</t>
  </si>
  <si>
    <t>2027-01-01</t>
  </si>
  <si>
    <t xml:space="preserve">  BEVERAGES</t>
  </si>
  <si>
    <t>Beverages</t>
  </si>
  <si>
    <t>Soda Syrup</t>
  </si>
  <si>
    <t>bag</t>
  </si>
  <si>
    <t>Coke Dist.</t>
  </si>
  <si>
    <t>2026-07-01</t>
  </si>
  <si>
    <t>Orange Juice</t>
  </si>
  <si>
    <t>Coffee Beans</t>
  </si>
  <si>
    <t>Roast Co.</t>
  </si>
  <si>
    <t>2026-09-01</t>
  </si>
  <si>
    <t>Sparkling Water</t>
  </si>
  <si>
    <t>case</t>
  </si>
  <si>
    <t>2027-06-01</t>
  </si>
  <si>
    <t xml:space="preserve">  ALCOHOL</t>
  </si>
  <si>
    <t>Alcohol</t>
  </si>
  <si>
    <t>House Red Wine</t>
  </si>
  <si>
    <t>bottle</t>
  </si>
  <si>
    <t>Wine &amp; Spirits</t>
  </si>
  <si>
    <t>2027-12-01</t>
  </si>
  <si>
    <t>House White Wine</t>
  </si>
  <si>
    <t>Rail Vodka</t>
  </si>
  <si>
    <t>Draft Beer Keg</t>
  </si>
  <si>
    <t>Local Brewery</t>
  </si>
  <si>
    <t>2026-05-01</t>
  </si>
  <si>
    <t xml:space="preserve">  CLEANING &amp; SUPPLIES</t>
  </si>
  <si>
    <t>Cleaning &amp; Supplies</t>
  </si>
  <si>
    <t>Dish Soap</t>
  </si>
  <si>
    <t>US Foods</t>
  </si>
  <si>
    <t>Sanitizer Tablets</t>
  </si>
  <si>
    <t>box</t>
  </si>
  <si>
    <t>Gloves (M)</t>
  </si>
  <si>
    <t>Food-Safe Wrap</t>
  </si>
  <si>
    <t xml:space="preserve">  Produce — Subtotal</t>
  </si>
  <si>
    <t xml:space="preserve">  Meat &amp; Seafood — Subtotal</t>
  </si>
  <si>
    <t xml:space="preserve">  Dairy &amp; Eggs — Subtotal</t>
  </si>
  <si>
    <t xml:space="preserve">  Dry Goods &amp; Spices — Subtotal</t>
  </si>
  <si>
    <t xml:space="preserve">  Beverages — Subtotal</t>
  </si>
  <si>
    <t xml:space="preserve">  Alcohol — Subtotal</t>
  </si>
  <si>
    <t xml:space="preserve">  Cleaning &amp; Supplies — Subtotal</t>
  </si>
  <si>
    <t>GRAND TOTAL</t>
  </si>
  <si>
    <t>📊  ResLoom Weekly Inventory Dashboard</t>
  </si>
  <si>
    <t xml:space="preserve">  All figures pull automatically from "Weekly Count". Enter your data there, then return here to review.</t>
  </si>
  <si>
    <t>Total COGS This Week</t>
  </si>
  <si>
    <t>Inventory Value (Closing)</t>
  </si>
  <si>
    <t>Food Cost %</t>
  </si>
  <si>
    <t>Weekly Revenue</t>
  </si>
  <si>
    <t>Items Needing Reorder</t>
  </si>
  <si>
    <t>Expiring Within 7 Days</t>
  </si>
  <si>
    <t xml:space="preserve">  COGS BY CATEGORY</t>
  </si>
  <si>
    <t>% of Total</t>
  </si>
  <si>
    <t>Value ($)</t>
  </si>
  <si>
    <t>COGS Bar</t>
  </si>
  <si>
    <t>TOTAL</t>
  </si>
  <si>
    <t>100%</t>
  </si>
  <si>
    <t xml:space="preserve">  ⚠ ITEMS NEEDING REORDER  (End Qty &lt; Par Level)</t>
  </si>
  <si>
    <t>Item</t>
  </si>
  <si>
    <t>Par Level</t>
  </si>
  <si>
    <t>ResLoom IMS — real-time POS-connected inventory.  resloom.com</t>
  </si>
  <si>
    <t>ResLoom — How to Use This Template  (v3 — 7 categories + Dashboard)</t>
  </si>
  <si>
    <t>7 CATEGORIES IN THIS TEMPLATE</t>
  </si>
  <si>
    <t>1. Produce            — Fresh fruit &amp; vegetables</t>
  </si>
  <si>
    <t>2. Meat &amp; Seafood     — All proteins (beef, poultry, pork, fish, shellfish)</t>
  </si>
  <si>
    <t>3. Dairy &amp; Eggs       — Milk, cream, cheese, butter, eggs</t>
  </si>
  <si>
    <t>4. Dry Goods &amp; Spices — Flour, grains, oils, spices, baked goods</t>
  </si>
  <si>
    <t>5. Beverages          — Non-alcoholic: sodas, juices, coffee, tea</t>
  </si>
  <si>
    <t>6. Alcohol            — Beer, wine, spirits (track separately for compliance)</t>
  </si>
  <si>
    <t>7. Cleaning &amp; Supplies— Chemicals, gloves, wrap, disposables (non-edible COGS)</t>
  </si>
  <si>
    <t>WHAT'S IN V3</t>
  </si>
  <si>
    <t>✦  7 categories matching restaurant physical storage areas (walk-in, dry store, bar, back-of-house)</t>
  </si>
  <si>
    <t>✦  📊 Dashboard tab — KPIs, COGS by category with in-cell bars, live reorder list</t>
  </si>
  <si>
    <t>✦  Par Level column (J) — minimum safe stock threshold per item</t>
  </si>
  <si>
    <t>✦  Reorder Alert column (N) — ⚠ ORDER (red) when End Qty &lt; Par Level</t>
  </si>
  <si>
    <t>✦  Expiry colour coding — orange (≤7 days), red (expired)</t>
  </si>
  <si>
    <t>✦  Food Cost % — enter weekly revenue in K2, formula does the rest</t>
  </si>
  <si>
    <t>✦  Category subtotals + Grand Total</t>
  </si>
  <si>
    <t>✦  Formula columns K/L/M/N are locked — cannot be accidentally deleted</t>
  </si>
  <si>
    <t>STEP 1 — Replace sample rows with your ingredients</t>
  </si>
  <si>
    <t>"Weekly Count" tab. Keep the category structure. Add rows within a category section by inserting above the next category banner.</t>
  </si>
  <si>
    <t>STEP 2 — Set Par Levels (column J)</t>
  </si>
  <si>
    <t>Minimum quantity to run a normal week. Start with 1.5× your average weekly usage. Dashboard auto-populates Reorder List.</t>
  </si>
  <si>
    <t>STEP 3 — Enter Unit Costs (column D)</t>
  </si>
  <si>
    <t>Pull directly from your most recent supplier invoices. Update every time prices change.</t>
  </si>
  <si>
    <t>STEP 4 — Count Beginning Inventory (column G)</t>
  </si>
  <si>
    <t>Physical count before Monday deliveries. Walk the kitchen in category order (same as the sheet structure).</t>
  </si>
  <si>
    <t>STEP 5 — Log all Deliveries (column H)</t>
  </si>
  <si>
    <t>Same day as arrival. Never estimate from memory at end of week.</t>
  </si>
  <si>
    <t>STEP 6 — Count Ending Inventory (column I)</t>
  </si>
  <si>
    <t>After Sunday close. Formulas calculate COGS, alerts, and Dashboard update instantly.</t>
  </si>
  <si>
    <t>STEP 7 — Enter Weekly Revenue (cell K2)</t>
  </si>
  <si>
    <t>Food revenue only (no alcohol if tracked separately). Food Cost % and Dashboard KPI update automatically.</t>
  </si>
  <si>
    <t>STEP 8 — Open the Dashboard tab</t>
  </si>
  <si>
    <t>Review KPIs, COGS breakdown by category, and the live reorder list. Nothing to enter here — it is all formula-driven.</t>
  </si>
  <si>
    <t>HOW THE FORMULAS WORK</t>
  </si>
  <si>
    <t>Actual Usage (K)    =  Beginning Qty + Purchases − Ending Qty</t>
  </si>
  <si>
    <t>Total Value (L)     =  Ending Qty × Unit Cost</t>
  </si>
  <si>
    <t>COGS (M)            =  Actual Usage × Unit Cost</t>
  </si>
  <si>
    <t>Reorder Alert (N)   =  ⚠ ORDER when End Qty &lt; Par Level</t>
  </si>
  <si>
    <t>Food Cost % (N2)    =  Grand Total COGS ÷ Weekly Revenue (K2)</t>
  </si>
  <si>
    <t>READING YOUR RESULTS</t>
  </si>
  <si>
    <t>If COGS for a category is consistently above its expected % — investigate over-portioning, waste, or incorrect unit costs.</t>
  </si>
  <si>
    <t>Dashboard Reorder List auto-populates all ⚠ ORDER items — print it before calling suppliers.</t>
  </si>
  <si>
    <t>WHEN TO UPGRADE TO SOFTWARE</t>
  </si>
  <si>
    <t>When counting takes more than 2 hours/week, or you cannot identify variance root causes, you need a dedicated system.</t>
  </si>
  <si>
    <t>ResLoom IMS — POS-connected, real-time theoretical stock, automatic purchase orders.  resloom.com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</si>
</sst>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&quot;#,##0.00"/>
    <numFmt numFmtId="165" formatCode="0.0&quot;%&quot;"/>
    <numFmt numFmtId="166" formatCode="yyyy-mm-dd"/>
    <numFmt numFmtId="167" formatCode="&quot;$&quot;#,##0"/>
  </numFmts>
  <fonts count="32" x14ac:knownFonts="1">
    <font>
      <color theme="1"/>
      <family val="2"/>
      <scheme val="minor"/>
      <sz val="11"/>
      <name val="Calibri"/>
    </font>
    <font>
      <b/>
      <color rgb="FFFFFFFF"/>
      <sz val="14"/>
      <name val="Calibri"/>
    </font>
    <font>
      <b/>
      <color rgb="FF1E3A5F"/>
      <sz val="10"/>
      <name val="Calibri"/>
    </font>
    <font>
      <b/>
      <color rgb="FF1E3A5F"/>
      <sz val="11"/>
      <name val="Calibri"/>
    </font>
    <font>
      <b/>
      <color rgb="FF1E3A5F"/>
      <sz val="14"/>
      <name val="Calibri"/>
    </font>
    <font>
      <i/>
      <color rgb="FF444444"/>
      <sz val="9"/>
      <name val="Calibri"/>
    </font>
    <font>
      <b/>
      <color rgb="FFFFFFFF"/>
      <sz val="11"/>
      <name val="Calibri"/>
    </font>
    <font>
      <sz val="10"/>
      <name val="Calibri"/>
    </font>
    <font>
      <b/>
      <color rgb="FF7A6000"/>
      <sz val="10"/>
      <name val="Calibri"/>
    </font>
    <font>
      <b/>
      <color rgb="FFCC0000"/>
      <sz val="10"/>
      <name val="Calibri"/>
    </font>
    <font>
      <b/>
      <color rgb="FFFFFFFF"/>
      <sz val="12"/>
      <name val="Calibri"/>
    </font>
    <font>
      <b/>
      <color rgb="FFFFCCCC"/>
      <sz val="10"/>
      <name val="Calibri"/>
    </font>
    <font>
      <b/>
      <color rgb="FFFFFFFF"/>
      <sz val="16"/>
      <name val="Calibri"/>
    </font>
    <font>
      <i/>
      <color rgb="FF555555"/>
      <sz val="9"/>
      <name val="Calibri"/>
    </font>
    <font>
      <b/>
      <color rgb="FF8899AA"/>
      <sz val="9"/>
      <name val="Calibri"/>
    </font>
    <font>
      <b/>
      <color rgb="FF1E3A5F"/>
      <sz val="24"/>
      <name val="Calibri"/>
    </font>
    <font>
      <b/>
      <color rgb="FF1565C0"/>
      <sz val="24"/>
      <name val="Calibri"/>
    </font>
    <font>
      <b/>
      <color rgb="FF2E7D32"/>
      <sz val="24"/>
      <name val="Calibri"/>
    </font>
    <font>
      <b/>
      <color rgb="FF6A1B9A"/>
      <sz val="24"/>
      <name val="Calibri"/>
    </font>
    <font>
      <b/>
      <color rgb="FFB71C1C"/>
      <sz val="24"/>
      <name val="Calibri"/>
    </font>
    <font>
      <b/>
      <color rgb="FFE65100"/>
      <sz val="24"/>
      <name val="Calibri"/>
    </font>
    <font>
      <b/>
      <sz val="10"/>
      <name val="Calibri"/>
    </font>
    <font>
      <b/>
      <color rgb="FF4CAF50"/>
      <sz val="9"/>
      <name val="Calibri"/>
    </font>
    <font>
      <b/>
      <color rgb="FFEF5350"/>
      <sz val="9"/>
      <name val="Calibri"/>
    </font>
    <font>
      <b/>
      <color rgb="FF29B6F6"/>
      <sz val="9"/>
      <name val="Calibri"/>
    </font>
    <font>
      <b/>
      <color rgb="FFFF9800"/>
      <sz val="9"/>
      <name val="Calibri"/>
    </font>
    <font>
      <b/>
      <color rgb="FF7E57C2"/>
      <sz val="9"/>
      <name val="Calibri"/>
    </font>
    <font>
      <b/>
      <color rgb="FFEC407A"/>
      <sz val="9"/>
      <name val="Calibri"/>
    </font>
    <font>
      <b/>
      <color rgb="FF90A4AE"/>
      <sz val="9"/>
      <name val="Calibri"/>
    </font>
    <font>
      <b/>
      <color rgb="FFFFFFFF"/>
      <sz val="9"/>
      <name val="Calibri"/>
    </font>
    <font>
      <i/>
      <color rgb="FF8899AA"/>
      <sz val="9"/>
      <name val="Calibri"/>
    </font>
    <font>
      <b/>
      <color rgb="FF1E3A5F"/>
      <sz val="12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1E3A5F"/>
      </patternFill>
    </fill>
    <fill>
      <patternFill patternType="solid">
        <fgColor rgb="FFF0F4FA"/>
      </patternFill>
    </fill>
    <fill>
      <patternFill patternType="solid">
        <fgColor rgb="FFFFFFFF"/>
      </patternFill>
    </fill>
    <fill>
      <patternFill patternType="solid">
        <fgColor rgb="FFFAF5E4"/>
      </patternFill>
    </fill>
    <fill>
      <patternFill patternType="solid">
        <fgColor rgb="FFFFF8DC"/>
      </patternFill>
    </fill>
    <fill>
      <patternFill patternType="solid">
        <fgColor rgb="FFFFF3CD"/>
      </patternFill>
    </fill>
    <fill>
      <patternFill patternType="solid">
        <fgColor rgb="FFD6E4F7"/>
      </patternFill>
    </fill>
    <fill>
      <patternFill patternType="solid">
        <fgColor rgb="FFE8F0FB"/>
      </patternFill>
    </fill>
    <fill>
      <patternFill patternType="solid">
        <fgColor rgb="FF2D4F7C"/>
      </patternFill>
    </fill>
    <fill>
      <patternFill patternType="solid">
        <fgColor rgb="FFF8FAFF"/>
      </patternFill>
    </fill>
    <fill>
      <patternFill patternType="solid">
        <fgColor rgb="FFCC2200"/>
      </patternFill>
    </fill>
    <fill>
      <patternFill patternType="solid">
        <fgColor rgb="FF8B1A00"/>
      </patternFill>
    </fill>
  </fills>
  <borders count="17">
    <border>
      <left/>
      <right/>
      <top/>
      <bottom/>
      <diagonal/>
    </border>
    <border>
      <left style="thin">
        <color rgb="FFD1D9E6"/>
      </left>
      <right style="thin">
        <color rgb="FFD1D9E6"/>
      </right>
      <top style="thin">
        <color rgb="FFD1D9E6"/>
      </top>
      <bottom style="thin">
        <color rgb="FFD1D9E6"/>
      </bottom>
      <diagonal/>
    </border>
    <border>
      <left style="medium">
        <color rgb="FF1E3A5F"/>
      </left>
      <right style="medium">
        <color rgb="FF1E3A5F"/>
      </right>
      <top style="medium">
        <color rgb="FF1E3A5F"/>
      </top>
      <bottom style="medium">
        <color rgb="FF1E3A5F"/>
      </bottom>
      <diagonal/>
    </border>
    <border>
      <left style="thin">
        <color rgb="FFD1D9E6"/>
      </left>
      <right style="thin">
        <color rgb="FFD1D9E6"/>
      </right>
      <top style="thin">
        <color rgb="FFD1D9E6"/>
      </top>
      <bottom style="medium">
        <color rgb="FF1E3A5F"/>
      </bottom>
      <diagonal/>
    </border>
    <border>
      <left style="thin">
        <color rgb="FFE0EAF5"/>
      </left>
      <right style="medium">
        <color rgb="FF1E3A5F"/>
      </right>
      <top style="medium">
        <color rgb="FF1E3A5F"/>
      </top>
      <bottom style="thin">
        <color rgb="FFE0EAF5"/>
      </bottom>
      <diagonal/>
    </border>
    <border>
      <left style="thin">
        <color rgb="FFE0EAF5"/>
      </left>
      <right style="medium">
        <color rgb="FF1565C0"/>
      </right>
      <top style="medium">
        <color rgb="FF1565C0"/>
      </top>
      <bottom style="thin">
        <color rgb="FFE0EAF5"/>
      </bottom>
      <diagonal/>
    </border>
    <border>
      <left style="thin">
        <color rgb="FFE0EAF5"/>
      </left>
      <right style="medium">
        <color rgb="FF1E3A5F"/>
      </right>
      <top style="thin">
        <color rgb="FFE0EAF5"/>
      </top>
      <bottom style="medium">
        <color rgb="FF1E3A5F"/>
      </bottom>
      <diagonal/>
    </border>
    <border>
      <left style="thin">
        <color rgb="FFE0EAF5"/>
      </left>
      <right style="medium">
        <color rgb="FF1565C0"/>
      </right>
      <top style="thin">
        <color rgb="FFE0EAF5"/>
      </top>
      <bottom style="medium">
        <color rgb="FF1565C0"/>
      </bottom>
      <diagonal/>
    </border>
    <border>
      <left style="thin">
        <color rgb="FFE0EAF5"/>
      </left>
      <right style="medium">
        <color rgb="FF2E7D32"/>
      </right>
      <top style="medium">
        <color rgb="FF2E7D32"/>
      </top>
      <bottom style="thin">
        <color rgb="FFE0EAF5"/>
      </bottom>
      <diagonal/>
    </border>
    <border>
      <left style="thin">
        <color rgb="FFE0EAF5"/>
      </left>
      <right style="medium">
        <color rgb="FF6A1B9A"/>
      </right>
      <top style="medium">
        <color rgb="FF6A1B9A"/>
      </top>
      <bottom style="thin">
        <color rgb="FFE0EAF5"/>
      </bottom>
      <diagonal/>
    </border>
    <border>
      <left style="thin">
        <color rgb="FFE0EAF5"/>
      </left>
      <right style="medium">
        <color rgb="FF2E7D32"/>
      </right>
      <top style="thin">
        <color rgb="FFE0EAF5"/>
      </top>
      <bottom style="medium">
        <color rgb="FF2E7D32"/>
      </bottom>
      <diagonal/>
    </border>
    <border>
      <left style="thin">
        <color rgb="FFE0EAF5"/>
      </left>
      <right style="medium">
        <color rgb="FF6A1B9A"/>
      </right>
      <top style="thin">
        <color rgb="FFE0EAF5"/>
      </top>
      <bottom style="medium">
        <color rgb="FF6A1B9A"/>
      </bottom>
      <diagonal/>
    </border>
    <border>
      <left style="thin">
        <color rgb="FFE0EAF5"/>
      </left>
      <right style="medium">
        <color rgb="FFB71C1C"/>
      </right>
      <top style="medium">
        <color rgb="FFB71C1C"/>
      </top>
      <bottom style="thin">
        <color rgb="FFE0EAF5"/>
      </bottom>
      <diagonal/>
    </border>
    <border>
      <left style="thin">
        <color rgb="FFE0EAF5"/>
      </left>
      <right style="medium">
        <color rgb="FFE65100"/>
      </right>
      <top style="medium">
        <color rgb="FFE65100"/>
      </top>
      <bottom style="thin">
        <color rgb="FFE0EAF5"/>
      </bottom>
      <diagonal/>
    </border>
    <border>
      <left style="thin">
        <color rgb="FFE0EAF5"/>
      </left>
      <right style="medium">
        <color rgb="FFB71C1C"/>
      </right>
      <top style="thin">
        <color rgb="FFE0EAF5"/>
      </top>
      <bottom style="medium">
        <color rgb="FFB71C1C"/>
      </bottom>
      <diagonal/>
    </border>
    <border>
      <left style="thin">
        <color rgb="FFE0EAF5"/>
      </left>
      <right style="medium">
        <color rgb="FFE65100"/>
      </right>
      <top style="thin">
        <color rgb="FFE0EAF5"/>
      </top>
      <bottom style="medium">
        <color rgb="FFE65100"/>
      </bottom>
      <diagonal/>
    </border>
    <border>
      <left style="thin">
        <color rgb="FFD1D9E6"/>
      </left>
      <right style="thin">
        <color rgb="FFD1D9E6"/>
      </right>
      <top style="medium">
        <color rgb="FF1E3A5F"/>
      </top>
      <bottom style="thin">
        <color rgb="FFD1D9E6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0" fillId="4" borderId="1" xfId="0" applyFill="1" applyBorder="1" applyProtection="1">
      <protection locked="0"/>
    </xf>
    <xf numFmtId="0" fontId="2" fillId="3" borderId="0" xfId="0" applyFont="1" applyFill="1" applyAlignment="1">
      <alignment horizontal="center" vertical="center"/>
    </xf>
    <xf numFmtId="164" fontId="3" fillId="5" borderId="2" xfId="0" applyNumberFormat="1" applyFont="1" applyFill="1" applyBorder="1" applyAlignment="1" applyProtection="1">
      <alignment horizontal="center" vertical="center"/>
      <protection locked="0"/>
    </xf>
    <xf numFmtId="165" fontId="4" fillId="6" borderId="2" xfId="0" applyNumberFormat="1" applyFont="1" applyFill="1" applyBorder="1" applyAlignment="1">
      <alignment horizontal="center" vertical="center"/>
    </xf>
    <xf numFmtId="0" fontId="5" fillId="7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164" fontId="7" fillId="3" borderId="1" xfId="0" applyNumberFormat="1" applyFont="1" applyFill="1" applyBorder="1" applyAlignment="1" applyProtection="1">
      <alignment horizontal="center" vertical="center"/>
      <protection locked="0"/>
    </xf>
    <xf numFmtId="166" fontId="7" fillId="3" borderId="1" xfId="0" applyNumberFormat="1" applyFont="1" applyFill="1" applyBorder="1" applyAlignment="1" applyProtection="1">
      <alignment horizontal="center" vertical="center"/>
      <protection locked="0"/>
    </xf>
    <xf numFmtId="0" fontId="8" fillId="6" borderId="1" xfId="0" applyFont="1" applyFill="1" applyBorder="1" applyAlignment="1" applyProtection="1">
      <alignment horizontal="center" vertical="center"/>
      <protection locked="0"/>
    </xf>
    <xf numFmtId="0" fontId="2" fillId="9" borderId="1" xfId="0" applyFont="1" applyFill="1" applyBorder="1" applyAlignment="1" applyProtection="1">
      <alignment horizontal="center" vertical="center"/>
    </xf>
    <xf numFmtId="164" fontId="7" fillId="9" borderId="1" xfId="0" applyNumberFormat="1" applyFont="1" applyFill="1" applyBorder="1" applyAlignment="1" applyProtection="1">
      <alignment horizontal="center" vertical="center"/>
    </xf>
    <xf numFmtId="164" fontId="2" fillId="9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Protection="1">
      <protection locked="0"/>
    </xf>
    <xf numFmtId="0" fontId="7" fillId="4" borderId="1" xfId="0" applyFont="1" applyFill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 applyProtection="1">
      <alignment horizontal="center" vertical="center"/>
      <protection locked="0"/>
    </xf>
    <xf numFmtId="164" fontId="7" fillId="4" borderId="1" xfId="0" applyNumberFormat="1" applyFont="1" applyFill="1" applyBorder="1" applyAlignment="1" applyProtection="1">
      <alignment horizontal="center" vertical="center"/>
      <protection locked="0"/>
    </xf>
    <xf numFmtId="166" fontId="7" fillId="4" borderId="1" xfId="0" applyNumberFormat="1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 applyProtection="1">
      <alignment horizontal="center" vertical="center"/>
    </xf>
    <xf numFmtId="0" fontId="7" fillId="4" borderId="1" xfId="0" applyFont="1" applyFill="1" applyBorder="1" applyProtection="1">
      <protection locked="0"/>
    </xf>
    <xf numFmtId="0" fontId="2" fillId="9" borderId="3" xfId="0" applyFont="1" applyFill="1" applyBorder="1" applyAlignment="1">
      <alignment horizontal="left" vertical="center"/>
    </xf>
    <xf numFmtId="0" fontId="0" fillId="9" borderId="3" xfId="0" applyFill="1" applyBorder="1"/>
    <xf numFmtId="164" fontId="2" fillId="9" borderId="3" xfId="0" applyNumberFormat="1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left" vertical="center"/>
    </xf>
    <xf numFmtId="164" fontId="10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0" fontId="0" fillId="2" borderId="1" xfId="0" applyFill="1" applyBorder="1"/>
    <xf numFmtId="0" fontId="12" fillId="2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left" vertical="center"/>
    </xf>
    <xf numFmtId="0" fontId="14" fillId="4" borderId="4" xfId="0" applyFont="1" applyFill="1" applyBorder="1" applyAlignment="1">
      <alignment horizontal="left" vertical="bottom"/>
    </xf>
    <xf numFmtId="0" fontId="14" fillId="4" borderId="5" xfId="0" applyFont="1" applyFill="1" applyBorder="1" applyAlignment="1">
      <alignment horizontal="left" vertical="bottom"/>
    </xf>
    <xf numFmtId="164" fontId="15" fillId="4" borderId="6" xfId="0" applyNumberFormat="1" applyFont="1" applyFill="1" applyBorder="1" applyAlignment="1">
      <alignment horizontal="left" vertical="center"/>
    </xf>
    <xf numFmtId="164" fontId="16" fillId="4" borderId="7" xfId="0" applyNumberFormat="1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bottom"/>
    </xf>
    <xf numFmtId="0" fontId="14" fillId="4" borderId="9" xfId="0" applyFont="1" applyFill="1" applyBorder="1" applyAlignment="1">
      <alignment horizontal="left" vertical="bottom"/>
    </xf>
    <xf numFmtId="165" fontId="17" fillId="4" borderId="10" xfId="0" applyNumberFormat="1" applyFont="1" applyFill="1" applyBorder="1" applyAlignment="1">
      <alignment horizontal="left" vertical="center"/>
    </xf>
    <xf numFmtId="167" fontId="18" fillId="4" borderId="11" xfId="0" applyNumberFormat="1" applyFont="1" applyFill="1" applyBorder="1" applyAlignment="1">
      <alignment horizontal="left" vertical="center"/>
    </xf>
    <xf numFmtId="0" fontId="14" fillId="4" borderId="12" xfId="0" applyFont="1" applyFill="1" applyBorder="1" applyAlignment="1">
      <alignment horizontal="left" vertical="bottom"/>
    </xf>
    <xf numFmtId="0" fontId="14" fillId="4" borderId="13" xfId="0" applyFont="1" applyFill="1" applyBorder="1" applyAlignment="1">
      <alignment horizontal="left" vertical="bottom"/>
    </xf>
    <xf numFmtId="1" fontId="19" fillId="4" borderId="14" xfId="0" applyNumberFormat="1" applyFont="1" applyFill="1" applyBorder="1" applyAlignment="1">
      <alignment horizontal="left" vertical="center"/>
    </xf>
    <xf numFmtId="1" fontId="20" fillId="4" borderId="15" xfId="0" applyNumberFormat="1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10" borderId="1" xfId="0" applyFont="1" applyFill="1" applyBorder="1" applyAlignment="1">
      <alignment horizontal="left" vertical="center"/>
    </xf>
    <xf numFmtId="0" fontId="6" fillId="10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left" vertical="center"/>
    </xf>
    <xf numFmtId="164" fontId="7" fillId="4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center" vertical="center"/>
    </xf>
    <xf numFmtId="0" fontId="22" fillId="11" borderId="1" xfId="0" applyFont="1" applyFill="1" applyBorder="1" applyAlignment="1">
      <alignment horizontal="left" vertical="center"/>
    </xf>
    <xf numFmtId="0" fontId="23" fillId="11" borderId="1" xfId="0" applyFont="1" applyFill="1" applyBorder="1" applyAlignment="1">
      <alignment horizontal="left" vertical="center"/>
    </xf>
    <xf numFmtId="0" fontId="24" fillId="11" borderId="1" xfId="0" applyFont="1" applyFill="1" applyBorder="1" applyAlignment="1">
      <alignment horizontal="left" vertical="center"/>
    </xf>
    <xf numFmtId="0" fontId="25" fillId="11" borderId="1" xfId="0" applyFont="1" applyFill="1" applyBorder="1" applyAlignment="1">
      <alignment horizontal="left" vertical="center"/>
    </xf>
    <xf numFmtId="0" fontId="26" fillId="11" borderId="1" xfId="0" applyFont="1" applyFill="1" applyBorder="1" applyAlignment="1">
      <alignment horizontal="left" vertical="center"/>
    </xf>
    <xf numFmtId="0" fontId="27" fillId="11" borderId="1" xfId="0" applyFont="1" applyFill="1" applyBorder="1" applyAlignment="1">
      <alignment horizontal="left" vertical="center"/>
    </xf>
    <xf numFmtId="0" fontId="28" fillId="11" borderId="1" xfId="0" applyFont="1" applyFill="1" applyBorder="1" applyAlignment="1">
      <alignment horizontal="left" vertical="center"/>
    </xf>
    <xf numFmtId="0" fontId="2" fillId="9" borderId="16" xfId="0" applyFont="1" applyFill="1" applyBorder="1" applyAlignment="1">
      <alignment horizontal="left" vertical="center"/>
    </xf>
    <xf numFmtId="164" fontId="2" fillId="9" borderId="16" xfId="0" applyNumberFormat="1" applyFont="1" applyFill="1" applyBorder="1" applyAlignment="1">
      <alignment horizontal="center" vertical="center"/>
    </xf>
    <xf numFmtId="0" fontId="2" fillId="9" borderId="16" xfId="0" applyFont="1" applyFill="1" applyBorder="1" applyAlignment="1">
      <alignment horizontal="center" vertical="center"/>
    </xf>
    <xf numFmtId="0" fontId="0" fillId="9" borderId="16" xfId="0" applyFill="1" applyBorder="1"/>
    <xf numFmtId="0" fontId="6" fillId="12" borderId="0" xfId="0" applyFont="1" applyFill="1" applyAlignment="1">
      <alignment horizontal="left" vertical="center"/>
    </xf>
    <xf numFmtId="0" fontId="29" fillId="1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30" fillId="4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0" fontId="31" fillId="8" borderId="0" xfId="0" applyFont="1" applyFill="1" applyAlignment="1">
      <alignment horizontal="left" vertical="center" wrapText="1"/>
    </xf>
    <xf numFmtId="0" fontId="21" fillId="3" borderId="0" xfId="0" applyFont="1" applyFill="1" applyAlignment="1">
      <alignment horizontal="left" vertical="center" wrapText="1"/>
    </xf>
    <xf numFmtId="0" fontId="21" fillId="7" borderId="0" xfId="0" applyFont="1" applyFill="1" applyAlignment="1">
      <alignment horizontal="left" vertical="center" wrapText="1"/>
    </xf>
  </cellXfs>
  <cellStyles count="1">
    <cellStyle name="Normal" xfId="0" builtinId="0"/>
  </cellStyles>
  <dxfs count="3">
    <dxf>
      <font>
        <b/>
        <color rgb="FFFFFFFF"/>
      </font>
      <fill>
        <patternFill patternType="solid">
          <fgColor rgb="FFFF4444"/>
          <bgColor rgb="FFFF4444"/>
        </patternFill>
      </fill>
    </dxf>
    <dxf>
      <font>
        <b/>
        <color rgb="FF000000"/>
      </font>
      <fill>
        <patternFill patternType="solid">
          <fgColor rgb="FFFFA500"/>
          <bgColor rgb="FFFFA500"/>
        </patternFill>
      </fill>
    </dxf>
    <dxf>
      <font>
        <b/>
        <color rgb="FFCC0000"/>
      </font>
      <fill>
        <patternFill patternType="solid">
          <fgColor rgb="FFFDE8E8"/>
          <bgColor rgb="FFFDE8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E3A5F"/>
    <pageSetUpPr fitToPage="1"/>
  </sheetPr>
  <dimension ref="A1:O51"/>
  <sheetViews>
    <sheetView workbookViewId="0">
      <pane ySplit="4" topLeftCell="A5" activePane="bottomLeft" state="frozen"/>
      <selection pane="bottomLeft"/>
    </sheetView>
  </sheetViews>
  <sheetFormatPr defaultRowHeight="15" outlineLevelRow="0" outlineLevelCol="0" x14ac:dyDescent="55"/>
  <cols>
    <col min="1" max="1" width="18" customWidth="1"/>
    <col min="2" max="2" width="26" customWidth="1"/>
    <col min="3" max="3" width="10" customWidth="1"/>
    <col min="4" max="4" width="13" customWidth="1"/>
    <col min="5" max="5" width="18" customWidth="1"/>
    <col min="6" max="6" width="14" customWidth="1"/>
    <col min="7" max="10" width="12" customWidth="1"/>
    <col min="11" max="12" width="14" customWidth="1"/>
    <col min="13" max="13" width="13" customWidth="1"/>
    <col min="14" max="14" width="14" customWidth="1"/>
    <col min="15" max="15" width="24" customWidth="1"/>
  </cols>
  <sheetData>
    <row r="1" ht="30" customHeight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22" customHeight="1" spans="1:14" x14ac:dyDescent="0.25">
      <c r="A2" s="2" t="s">
        <v>1</v>
      </c>
      <c r="B2" s="2"/>
      <c r="C2" s="3"/>
      <c r="D2" s="2" t="s">
        <v>2</v>
      </c>
      <c r="E2" s="2"/>
      <c r="F2" s="2"/>
      <c r="G2" s="3"/>
      <c r="H2" s="4" t="s">
        <v>3</v>
      </c>
      <c r="I2" s="4"/>
      <c r="J2" s="4"/>
      <c r="K2" s="5"/>
      <c r="L2" s="4" t="s">
        <v>4</v>
      </c>
      <c r="M2" s="4"/>
      <c r="N2" s="6">
        <f>IF(K2&gt;0,M51/K2,0)</f>
      </c>
    </row>
    <row r="3" ht="18" customHeight="1" spans="1:15" x14ac:dyDescent="0.25">
      <c r="A3" s="7" t="s">
        <v>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ht="22" customHeight="1" spans="1:15" x14ac:dyDescent="0.25">
      <c r="A4" s="8" t="s">
        <v>6</v>
      </c>
      <c r="B4" s="8" t="s">
        <v>7</v>
      </c>
      <c r="C4" s="8" t="s">
        <v>8</v>
      </c>
      <c r="D4" s="8" t="s">
        <v>9</v>
      </c>
      <c r="E4" s="8" t="s">
        <v>10</v>
      </c>
      <c r="F4" s="8" t="s">
        <v>11</v>
      </c>
      <c r="G4" s="8" t="s">
        <v>12</v>
      </c>
      <c r="H4" s="8" t="s">
        <v>13</v>
      </c>
      <c r="I4" s="8" t="s">
        <v>14</v>
      </c>
      <c r="J4" s="8" t="s">
        <v>15</v>
      </c>
      <c r="K4" s="8" t="s">
        <v>16</v>
      </c>
      <c r="L4" s="8" t="s">
        <v>17</v>
      </c>
      <c r="M4" s="8" t="s">
        <v>18</v>
      </c>
      <c r="N4" s="8" t="s">
        <v>19</v>
      </c>
      <c r="O4" s="8" t="s">
        <v>20</v>
      </c>
    </row>
    <row r="5" ht="18" customHeight="1" spans="1:15" x14ac:dyDescent="0.25">
      <c r="A5" s="9" t="s">
        <v>21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18" customHeight="1" spans="1:15" x14ac:dyDescent="0.25">
      <c r="A6" s="10" t="s">
        <v>22</v>
      </c>
      <c r="B6" s="10" t="s">
        <v>23</v>
      </c>
      <c r="C6" s="11" t="s">
        <v>24</v>
      </c>
      <c r="D6" s="12">
        <v>1.2</v>
      </c>
      <c r="E6" s="10" t="s">
        <v>25</v>
      </c>
      <c r="F6" s="13" t="s">
        <v>26</v>
      </c>
      <c r="G6" s="11">
        <v>10</v>
      </c>
      <c r="H6" s="11">
        <v>20</v>
      </c>
      <c r="I6" s="11">
        <v>8</v>
      </c>
      <c r="J6" s="14">
        <v>12</v>
      </c>
      <c r="K6" s="15">
        <f>G6+H6-I6</f>
      </c>
      <c r="L6" s="16">
        <f>I6*D6</f>
      </c>
      <c r="M6" s="17">
        <f>K6*D6</f>
      </c>
      <c r="N6" s="18">
        <f>IF(AND(J6&lt;&gt;"",I6&lt;J6),"⚠ ORDER","✓ OK")</f>
      </c>
      <c r="O6" s="19" t="s">
        <v>27</v>
      </c>
    </row>
    <row r="7" ht="18" customHeight="1" spans="1:15" x14ac:dyDescent="0.25">
      <c r="A7" s="20" t="s">
        <v>22</v>
      </c>
      <c r="B7" s="20" t="s">
        <v>28</v>
      </c>
      <c r="C7" s="21" t="s">
        <v>29</v>
      </c>
      <c r="D7" s="22">
        <v>0.85</v>
      </c>
      <c r="E7" s="20" t="s">
        <v>25</v>
      </c>
      <c r="F7" s="23" t="s">
        <v>30</v>
      </c>
      <c r="G7" s="21">
        <v>6</v>
      </c>
      <c r="H7" s="21">
        <v>12</v>
      </c>
      <c r="I7" s="21">
        <v>4</v>
      </c>
      <c r="J7" s="14">
        <v>8</v>
      </c>
      <c r="K7" s="15">
        <f>G7+H7-I7</f>
      </c>
      <c r="L7" s="16">
        <f>I7*D7</f>
      </c>
      <c r="M7" s="17">
        <f>K7*D7</f>
      </c>
      <c r="N7" s="24">
        <f>IF(AND(J7&lt;&gt;"",I7&lt;J7),"⚠ ORDER","✓ OK")</f>
      </c>
      <c r="O7" s="25" t="s">
        <v>27</v>
      </c>
    </row>
    <row r="8" ht="18" customHeight="1" spans="1:15" x14ac:dyDescent="0.25">
      <c r="A8" s="10" t="s">
        <v>22</v>
      </c>
      <c r="B8" s="10" t="s">
        <v>31</v>
      </c>
      <c r="C8" s="11" t="s">
        <v>24</v>
      </c>
      <c r="D8" s="12">
        <v>0.6</v>
      </c>
      <c r="E8" s="10" t="s">
        <v>25</v>
      </c>
      <c r="F8" s="13" t="s">
        <v>32</v>
      </c>
      <c r="G8" s="11">
        <v>15</v>
      </c>
      <c r="H8" s="11">
        <v>10</v>
      </c>
      <c r="I8" s="11">
        <v>9</v>
      </c>
      <c r="J8" s="14">
        <v>10</v>
      </c>
      <c r="K8" s="15">
        <f>G8+H8-I8</f>
      </c>
      <c r="L8" s="16">
        <f>I8*D8</f>
      </c>
      <c r="M8" s="17">
        <f>K8*D8</f>
      </c>
      <c r="N8" s="18">
        <f>IF(AND(J8&lt;&gt;"",I8&lt;J8),"⚠ ORDER","✓ OK")</f>
      </c>
      <c r="O8" s="19" t="s">
        <v>27</v>
      </c>
    </row>
    <row r="9" ht="18" customHeight="1" spans="1:15" x14ac:dyDescent="0.25">
      <c r="A9" s="20" t="s">
        <v>22</v>
      </c>
      <c r="B9" s="20" t="s">
        <v>33</v>
      </c>
      <c r="C9" s="21" t="s">
        <v>24</v>
      </c>
      <c r="D9" s="22">
        <v>0.55</v>
      </c>
      <c r="E9" s="20" t="s">
        <v>25</v>
      </c>
      <c r="F9" s="23" t="s">
        <v>34</v>
      </c>
      <c r="G9" s="21">
        <v>20</v>
      </c>
      <c r="H9" s="21">
        <v>25</v>
      </c>
      <c r="I9" s="21">
        <v>14</v>
      </c>
      <c r="J9" s="14">
        <v>15</v>
      </c>
      <c r="K9" s="15">
        <f>G9+H9-I9</f>
      </c>
      <c r="L9" s="16">
        <f>I9*D9</f>
      </c>
      <c r="M9" s="17">
        <f>K9*D9</f>
      </c>
      <c r="N9" s="24">
        <f>IF(AND(J9&lt;&gt;"",I9&lt;J9),"⚠ ORDER","✓ OK")</f>
      </c>
      <c r="O9" s="25" t="s">
        <v>27</v>
      </c>
    </row>
    <row r="10" ht="18" customHeight="1" spans="1:15" x14ac:dyDescent="0.25">
      <c r="A10" s="9" t="s">
        <v>35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ht="18" customHeight="1" spans="1:15" x14ac:dyDescent="0.25">
      <c r="A11" s="20" t="s">
        <v>36</v>
      </c>
      <c r="B11" s="20" t="s">
        <v>37</v>
      </c>
      <c r="C11" s="21" t="s">
        <v>38</v>
      </c>
      <c r="D11" s="22">
        <v>1.8</v>
      </c>
      <c r="E11" s="20" t="s">
        <v>39</v>
      </c>
      <c r="F11" s="23" t="s">
        <v>40</v>
      </c>
      <c r="G11" s="21">
        <v>80</v>
      </c>
      <c r="H11" s="21">
        <v>100</v>
      </c>
      <c r="I11" s="21">
        <v>45</v>
      </c>
      <c r="J11" s="14">
        <v>60</v>
      </c>
      <c r="K11" s="15">
        <f>G11+H11-I11</f>
      </c>
      <c r="L11" s="16">
        <f>I11*D11</f>
      </c>
      <c r="M11" s="17">
        <f>K11*D11</f>
      </c>
      <c r="N11" s="24">
        <f>IF(AND(J11&lt;&gt;"",I11&lt;J11),"⚠ ORDER","✓ OK")</f>
      </c>
      <c r="O11" s="25" t="s">
        <v>27</v>
      </c>
    </row>
    <row r="12" ht="18" customHeight="1" spans="1:15" x14ac:dyDescent="0.25">
      <c r="A12" s="10" t="s">
        <v>36</v>
      </c>
      <c r="B12" s="10" t="s">
        <v>41</v>
      </c>
      <c r="C12" s="11" t="s">
        <v>24</v>
      </c>
      <c r="D12" s="12">
        <v>3.4</v>
      </c>
      <c r="E12" s="10" t="s">
        <v>39</v>
      </c>
      <c r="F12" s="13" t="s">
        <v>42</v>
      </c>
      <c r="G12" s="11">
        <v>20</v>
      </c>
      <c r="H12" s="11">
        <v>30</v>
      </c>
      <c r="I12" s="11">
        <v>12</v>
      </c>
      <c r="J12" s="14">
        <v>20</v>
      </c>
      <c r="K12" s="15">
        <f>G12+H12-I12</f>
      </c>
      <c r="L12" s="16">
        <f>I12*D12</f>
      </c>
      <c r="M12" s="17">
        <f>K12*D12</f>
      </c>
      <c r="N12" s="18">
        <f>IF(AND(J12&lt;&gt;"",I12&lt;J12),"⚠ ORDER","✓ OK")</f>
      </c>
      <c r="O12" s="19" t="s">
        <v>27</v>
      </c>
    </row>
    <row r="13" ht="18" customHeight="1" spans="1:15" x14ac:dyDescent="0.25">
      <c r="A13" s="20" t="s">
        <v>36</v>
      </c>
      <c r="B13" s="20" t="s">
        <v>43</v>
      </c>
      <c r="C13" s="21" t="s">
        <v>24</v>
      </c>
      <c r="D13" s="22">
        <v>4.2</v>
      </c>
      <c r="E13" s="20" t="s">
        <v>39</v>
      </c>
      <c r="F13" s="23" t="s">
        <v>44</v>
      </c>
      <c r="G13" s="21">
        <v>8</v>
      </c>
      <c r="H13" s="21">
        <v>10</v>
      </c>
      <c r="I13" s="21">
        <v>5</v>
      </c>
      <c r="J13" s="14">
        <v>8</v>
      </c>
      <c r="K13" s="15">
        <f>G13+H13-I13</f>
      </c>
      <c r="L13" s="16">
        <f>I13*D13</f>
      </c>
      <c r="M13" s="17">
        <f>K13*D13</f>
      </c>
      <c r="N13" s="24">
        <f>IF(AND(J13&lt;&gt;"",I13&lt;J13),"⚠ ORDER","✓ OK")</f>
      </c>
      <c r="O13" s="25" t="s">
        <v>27</v>
      </c>
    </row>
    <row r="14" ht="18" customHeight="1" spans="1:15" x14ac:dyDescent="0.25">
      <c r="A14" s="10" t="s">
        <v>36</v>
      </c>
      <c r="B14" s="10" t="s">
        <v>45</v>
      </c>
      <c r="C14" s="11" t="s">
        <v>24</v>
      </c>
      <c r="D14" s="12">
        <v>9.5</v>
      </c>
      <c r="E14" s="10" t="s">
        <v>46</v>
      </c>
      <c r="F14" s="13" t="s">
        <v>42</v>
      </c>
      <c r="G14" s="11">
        <v>6</v>
      </c>
      <c r="H14" s="11">
        <v>8</v>
      </c>
      <c r="I14" s="11">
        <v>3</v>
      </c>
      <c r="J14" s="14">
        <v>6</v>
      </c>
      <c r="K14" s="15">
        <f>G14+H14-I14</f>
      </c>
      <c r="L14" s="16">
        <f>I14*D14</f>
      </c>
      <c r="M14" s="17">
        <f>K14*D14</f>
      </c>
      <c r="N14" s="18">
        <f>IF(AND(J14&lt;&gt;"",I14&lt;J14),"⚠ ORDER","✓ OK")</f>
      </c>
      <c r="O14" s="19" t="s">
        <v>27</v>
      </c>
    </row>
    <row r="15" ht="18" customHeight="1" spans="1:15" x14ac:dyDescent="0.25">
      <c r="A15" s="20" t="s">
        <v>36</v>
      </c>
      <c r="B15" s="20" t="s">
        <v>47</v>
      </c>
      <c r="C15" s="21" t="s">
        <v>24</v>
      </c>
      <c r="D15" s="22">
        <v>8.75</v>
      </c>
      <c r="E15" s="20" t="s">
        <v>46</v>
      </c>
      <c r="F15" s="23" t="s">
        <v>40</v>
      </c>
      <c r="G15" s="21">
        <v>4</v>
      </c>
      <c r="H15" s="21">
        <v>6</v>
      </c>
      <c r="I15" s="21">
        <v>2</v>
      </c>
      <c r="J15" s="14">
        <v>5</v>
      </c>
      <c r="K15" s="15">
        <f>G15+H15-I15</f>
      </c>
      <c r="L15" s="16">
        <f>I15*D15</f>
      </c>
      <c r="M15" s="17">
        <f>K15*D15</f>
      </c>
      <c r="N15" s="24">
        <f>IF(AND(J15&lt;&gt;"",I15&lt;J15),"⚠ ORDER","✓ OK")</f>
      </c>
      <c r="O15" s="25" t="s">
        <v>27</v>
      </c>
    </row>
    <row r="16" ht="18" customHeight="1" spans="1:15" x14ac:dyDescent="0.25">
      <c r="A16" s="9" t="s">
        <v>48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</row>
    <row r="17" ht="18" customHeight="1" spans="1:15" x14ac:dyDescent="0.25">
      <c r="A17" s="20" t="s">
        <v>49</v>
      </c>
      <c r="B17" s="20" t="s">
        <v>50</v>
      </c>
      <c r="C17" s="21" t="s">
        <v>38</v>
      </c>
      <c r="D17" s="22">
        <v>0.22</v>
      </c>
      <c r="E17" s="20" t="s">
        <v>51</v>
      </c>
      <c r="F17" s="23" t="s">
        <v>52</v>
      </c>
      <c r="G17" s="21">
        <v>60</v>
      </c>
      <c r="H17" s="21">
        <v>90</v>
      </c>
      <c r="I17" s="21">
        <v>40</v>
      </c>
      <c r="J17" s="14">
        <v>60</v>
      </c>
      <c r="K17" s="15">
        <f>G17+H17-I17</f>
      </c>
      <c r="L17" s="16">
        <f>I17*D17</f>
      </c>
      <c r="M17" s="17">
        <f>K17*D17</f>
      </c>
      <c r="N17" s="24">
        <f>IF(AND(J17&lt;&gt;"",I17&lt;J17),"⚠ ORDER","✓ OK")</f>
      </c>
      <c r="O17" s="25" t="s">
        <v>27</v>
      </c>
    </row>
    <row r="18" ht="18" customHeight="1" spans="1:15" x14ac:dyDescent="0.25">
      <c r="A18" s="10" t="s">
        <v>49</v>
      </c>
      <c r="B18" s="10" t="s">
        <v>53</v>
      </c>
      <c r="C18" s="11" t="s">
        <v>24</v>
      </c>
      <c r="D18" s="12">
        <v>5.5</v>
      </c>
      <c r="E18" s="10" t="s">
        <v>51</v>
      </c>
      <c r="F18" s="13" t="s">
        <v>54</v>
      </c>
      <c r="G18" s="11">
        <v>5</v>
      </c>
      <c r="H18" s="11">
        <v>8</v>
      </c>
      <c r="I18" s="11">
        <v>3</v>
      </c>
      <c r="J18" s="14">
        <v>5</v>
      </c>
      <c r="K18" s="15">
        <f>G18+H18-I18</f>
      </c>
      <c r="L18" s="16">
        <f>I18*D18</f>
      </c>
      <c r="M18" s="17">
        <f>K18*D18</f>
      </c>
      <c r="N18" s="18">
        <f>IF(AND(J18&lt;&gt;"",I18&lt;J18),"⚠ ORDER","✓ OK")</f>
      </c>
      <c r="O18" s="19" t="s">
        <v>27</v>
      </c>
    </row>
    <row r="19" ht="18" customHeight="1" spans="1:15" x14ac:dyDescent="0.25">
      <c r="A19" s="20" t="s">
        <v>49</v>
      </c>
      <c r="B19" s="20" t="s">
        <v>55</v>
      </c>
      <c r="C19" s="21" t="s">
        <v>56</v>
      </c>
      <c r="D19" s="22">
        <v>4.8</v>
      </c>
      <c r="E19" s="20" t="s">
        <v>51</v>
      </c>
      <c r="F19" s="23" t="s">
        <v>44</v>
      </c>
      <c r="G19" s="21">
        <v>4</v>
      </c>
      <c r="H19" s="21">
        <v>6</v>
      </c>
      <c r="I19" s="21">
        <v>2</v>
      </c>
      <c r="J19" s="14">
        <v>4</v>
      </c>
      <c r="K19" s="15">
        <f>G19+H19-I19</f>
      </c>
      <c r="L19" s="16">
        <f>I19*D19</f>
      </c>
      <c r="M19" s="17">
        <f>K19*D19</f>
      </c>
      <c r="N19" s="24">
        <f>IF(AND(J19&lt;&gt;"",I19&lt;J19),"⚠ ORDER","✓ OK")</f>
      </c>
      <c r="O19" s="25" t="s">
        <v>27</v>
      </c>
    </row>
    <row r="20" ht="18" customHeight="1" spans="1:15" x14ac:dyDescent="0.25">
      <c r="A20" s="10" t="s">
        <v>49</v>
      </c>
      <c r="B20" s="10" t="s">
        <v>57</v>
      </c>
      <c r="C20" s="11" t="s">
        <v>24</v>
      </c>
      <c r="D20" s="12">
        <v>6.2</v>
      </c>
      <c r="E20" s="10" t="s">
        <v>51</v>
      </c>
      <c r="F20" s="13" t="s">
        <v>58</v>
      </c>
      <c r="G20" s="11">
        <v>3</v>
      </c>
      <c r="H20" s="11">
        <v>4</v>
      </c>
      <c r="I20" s="11">
        <v>2</v>
      </c>
      <c r="J20" s="14">
        <v>3</v>
      </c>
      <c r="K20" s="15">
        <f>G20+H20-I20</f>
      </c>
      <c r="L20" s="16">
        <f>I20*D20</f>
      </c>
      <c r="M20" s="17">
        <f>K20*D20</f>
      </c>
      <c r="N20" s="18">
        <f>IF(AND(J20&lt;&gt;"",I20&lt;J20),"⚠ ORDER","✓ OK")</f>
      </c>
      <c r="O20" s="19" t="s">
        <v>27</v>
      </c>
    </row>
    <row r="21" ht="18" customHeight="1" spans="1:15" x14ac:dyDescent="0.25">
      <c r="A21" s="20" t="s">
        <v>49</v>
      </c>
      <c r="B21" s="20" t="s">
        <v>59</v>
      </c>
      <c r="C21" s="21" t="s">
        <v>60</v>
      </c>
      <c r="D21" s="22">
        <v>4.5</v>
      </c>
      <c r="E21" s="20" t="s">
        <v>51</v>
      </c>
      <c r="F21" s="23" t="s">
        <v>54</v>
      </c>
      <c r="G21" s="21">
        <v>3</v>
      </c>
      <c r="H21" s="21">
        <v>4</v>
      </c>
      <c r="I21" s="21">
        <v>2</v>
      </c>
      <c r="J21" s="14">
        <v>3</v>
      </c>
      <c r="K21" s="15">
        <f>G21+H21-I21</f>
      </c>
      <c r="L21" s="16">
        <f>I21*D21</f>
      </c>
      <c r="M21" s="17">
        <f>K21*D21</f>
      </c>
      <c r="N21" s="24">
        <f>IF(AND(J21&lt;&gt;"",I21&lt;J21),"⚠ ORDER","✓ OK")</f>
      </c>
      <c r="O21" s="25" t="s">
        <v>27</v>
      </c>
    </row>
    <row r="22" ht="18" customHeight="1" spans="1:15" x14ac:dyDescent="0.25">
      <c r="A22" s="9" t="s">
        <v>61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ht="18" customHeight="1" spans="1:15" x14ac:dyDescent="0.25">
      <c r="A23" s="20" t="s">
        <v>62</v>
      </c>
      <c r="B23" s="20" t="s">
        <v>63</v>
      </c>
      <c r="C23" s="21" t="s">
        <v>38</v>
      </c>
      <c r="D23" s="22">
        <v>0.35</v>
      </c>
      <c r="E23" s="20" t="s">
        <v>64</v>
      </c>
      <c r="F23" s="23" t="s">
        <v>40</v>
      </c>
      <c r="G23" s="21">
        <v>100</v>
      </c>
      <c r="H23" s="21">
        <v>150</v>
      </c>
      <c r="I23" s="21">
        <v>60</v>
      </c>
      <c r="J23" s="14">
        <v>80</v>
      </c>
      <c r="K23" s="15">
        <f>G23+H23-I23</f>
      </c>
      <c r="L23" s="16">
        <f>I23*D23</f>
      </c>
      <c r="M23" s="17">
        <f>K23*D23</f>
      </c>
      <c r="N23" s="24">
        <f>IF(AND(J23&lt;&gt;"",I23&lt;J23),"⚠ ORDER","✓ OK")</f>
      </c>
      <c r="O23" s="25" t="s">
        <v>27</v>
      </c>
    </row>
    <row r="24" ht="18" customHeight="1" spans="1:15" x14ac:dyDescent="0.25">
      <c r="A24" s="10" t="s">
        <v>62</v>
      </c>
      <c r="B24" s="10" t="s">
        <v>65</v>
      </c>
      <c r="C24" s="11" t="s">
        <v>24</v>
      </c>
      <c r="D24" s="12">
        <v>0.8</v>
      </c>
      <c r="E24" s="10" t="s">
        <v>66</v>
      </c>
      <c r="F24" s="13" t="s">
        <v>67</v>
      </c>
      <c r="G24" s="11">
        <v>25</v>
      </c>
      <c r="H24" s="11">
        <v>25</v>
      </c>
      <c r="I24" s="11">
        <v>18</v>
      </c>
      <c r="J24" s="14">
        <v>20</v>
      </c>
      <c r="K24" s="15">
        <f>G24+H24-I24</f>
      </c>
      <c r="L24" s="16">
        <f>I24*D24</f>
      </c>
      <c r="M24" s="17">
        <f>K24*D24</f>
      </c>
      <c r="N24" s="18">
        <f>IF(AND(J24&lt;&gt;"",I24&lt;J24),"⚠ ORDER","✓ OK")</f>
      </c>
      <c r="O24" s="19" t="s">
        <v>27</v>
      </c>
    </row>
    <row r="25" ht="18" customHeight="1" spans="1:15" x14ac:dyDescent="0.25">
      <c r="A25" s="20" t="s">
        <v>62</v>
      </c>
      <c r="B25" s="20" t="s">
        <v>68</v>
      </c>
      <c r="C25" s="21" t="s">
        <v>24</v>
      </c>
      <c r="D25" s="22">
        <v>0.5</v>
      </c>
      <c r="E25" s="20" t="s">
        <v>66</v>
      </c>
      <c r="F25" s="23" t="s">
        <v>27</v>
      </c>
      <c r="G25" s="21">
        <v>10</v>
      </c>
      <c r="H25" s="21">
        <v>0</v>
      </c>
      <c r="I25" s="21">
        <v>9</v>
      </c>
      <c r="J25" s="14">
        <v>8</v>
      </c>
      <c r="K25" s="15">
        <f>G25+H25-I25</f>
      </c>
      <c r="L25" s="16">
        <f>I25*D25</f>
      </c>
      <c r="M25" s="17">
        <f>K25*D25</f>
      </c>
      <c r="N25" s="24">
        <f>IF(AND(J25&lt;&gt;"",I25&lt;J25),"⚠ ORDER","✓ OK")</f>
      </c>
      <c r="O25" s="25" t="s">
        <v>27</v>
      </c>
    </row>
    <row r="26" ht="18" customHeight="1" spans="1:15" x14ac:dyDescent="0.25">
      <c r="A26" s="10" t="s">
        <v>62</v>
      </c>
      <c r="B26" s="10" t="s">
        <v>69</v>
      </c>
      <c r="C26" s="11" t="s">
        <v>24</v>
      </c>
      <c r="D26" s="12">
        <v>6.8</v>
      </c>
      <c r="E26" s="10" t="s">
        <v>66</v>
      </c>
      <c r="F26" s="13" t="s">
        <v>27</v>
      </c>
      <c r="G26" s="11">
        <v>2</v>
      </c>
      <c r="H26" s="11">
        <v>0</v>
      </c>
      <c r="I26" s="11">
        <v>1</v>
      </c>
      <c r="J26" s="14">
        <v>2</v>
      </c>
      <c r="K26" s="15">
        <f>G26+H26-I26</f>
      </c>
      <c r="L26" s="16">
        <f>I26*D26</f>
      </c>
      <c r="M26" s="17">
        <f>K26*D26</f>
      </c>
      <c r="N26" s="18">
        <f>IF(AND(J26&lt;&gt;"",I26&lt;J26),"⚠ ORDER","✓ OK")</f>
      </c>
      <c r="O26" s="19" t="s">
        <v>27</v>
      </c>
    </row>
    <row r="27" ht="18" customHeight="1" spans="1:15" x14ac:dyDescent="0.25">
      <c r="A27" s="20" t="s">
        <v>62</v>
      </c>
      <c r="B27" s="20" t="s">
        <v>70</v>
      </c>
      <c r="C27" s="21" t="s">
        <v>56</v>
      </c>
      <c r="D27" s="22">
        <v>22</v>
      </c>
      <c r="E27" s="20" t="s">
        <v>66</v>
      </c>
      <c r="F27" s="23" t="s">
        <v>71</v>
      </c>
      <c r="G27" s="21">
        <v>2</v>
      </c>
      <c r="H27" s="21">
        <v>2</v>
      </c>
      <c r="I27" s="21">
        <v>1</v>
      </c>
      <c r="J27" s="14">
        <v>2</v>
      </c>
      <c r="K27" s="15">
        <f>G27+H27-I27</f>
      </c>
      <c r="L27" s="16">
        <f>I27*D27</f>
      </c>
      <c r="M27" s="17">
        <f>K27*D27</f>
      </c>
      <c r="N27" s="24">
        <f>IF(AND(J27&lt;&gt;"",I27&lt;J27),"⚠ ORDER","✓ OK")</f>
      </c>
      <c r="O27" s="25" t="s">
        <v>27</v>
      </c>
    </row>
    <row r="28" ht="18" customHeight="1" spans="1:15" x14ac:dyDescent="0.25">
      <c r="A28" s="9" t="s">
        <v>72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</row>
    <row r="29" ht="18" customHeight="1" spans="1:15" x14ac:dyDescent="0.25">
      <c r="A29" s="20" t="s">
        <v>73</v>
      </c>
      <c r="B29" s="20" t="s">
        <v>74</v>
      </c>
      <c r="C29" s="21" t="s">
        <v>75</v>
      </c>
      <c r="D29" s="22">
        <v>18</v>
      </c>
      <c r="E29" s="20" t="s">
        <v>76</v>
      </c>
      <c r="F29" s="23" t="s">
        <v>77</v>
      </c>
      <c r="G29" s="21">
        <v>4</v>
      </c>
      <c r="H29" s="21">
        <v>6</v>
      </c>
      <c r="I29" s="21">
        <v>3</v>
      </c>
      <c r="J29" s="14">
        <v>4</v>
      </c>
      <c r="K29" s="15">
        <f>G29+H29-I29</f>
      </c>
      <c r="L29" s="16">
        <f>I29*D29</f>
      </c>
      <c r="M29" s="17">
        <f>K29*D29</f>
      </c>
      <c r="N29" s="24">
        <f>IF(AND(J29&lt;&gt;"",I29&lt;J29),"⚠ ORDER","✓ OK")</f>
      </c>
      <c r="O29" s="25" t="s">
        <v>27</v>
      </c>
    </row>
    <row r="30" ht="18" customHeight="1" spans="1:15" x14ac:dyDescent="0.25">
      <c r="A30" s="10" t="s">
        <v>73</v>
      </c>
      <c r="B30" s="10" t="s">
        <v>78</v>
      </c>
      <c r="C30" s="11" t="s">
        <v>56</v>
      </c>
      <c r="D30" s="12">
        <v>7.5</v>
      </c>
      <c r="E30" s="10" t="s">
        <v>25</v>
      </c>
      <c r="F30" s="13" t="s">
        <v>30</v>
      </c>
      <c r="G30" s="11">
        <v>3</v>
      </c>
      <c r="H30" s="11">
        <v>4</v>
      </c>
      <c r="I30" s="11">
        <v>2</v>
      </c>
      <c r="J30" s="14">
        <v>3</v>
      </c>
      <c r="K30" s="15">
        <f>G30+H30-I30</f>
      </c>
      <c r="L30" s="16">
        <f>I30*D30</f>
      </c>
      <c r="M30" s="17">
        <f>K30*D30</f>
      </c>
      <c r="N30" s="18">
        <f>IF(AND(J30&lt;&gt;"",I30&lt;J30),"⚠ ORDER","✓ OK")</f>
      </c>
      <c r="O30" s="19" t="s">
        <v>27</v>
      </c>
    </row>
    <row r="31" ht="18" customHeight="1" spans="1:15" x14ac:dyDescent="0.25">
      <c r="A31" s="20" t="s">
        <v>73</v>
      </c>
      <c r="B31" s="20" t="s">
        <v>79</v>
      </c>
      <c r="C31" s="21" t="s">
        <v>24</v>
      </c>
      <c r="D31" s="22">
        <v>14</v>
      </c>
      <c r="E31" s="20" t="s">
        <v>80</v>
      </c>
      <c r="F31" s="23" t="s">
        <v>81</v>
      </c>
      <c r="G31" s="21">
        <v>5</v>
      </c>
      <c r="H31" s="21">
        <v>5</v>
      </c>
      <c r="I31" s="21">
        <v>3</v>
      </c>
      <c r="J31" s="14">
        <v>4</v>
      </c>
      <c r="K31" s="15">
        <f>G31+H31-I31</f>
      </c>
      <c r="L31" s="16">
        <f>I31*D31</f>
      </c>
      <c r="M31" s="17">
        <f>K31*D31</f>
      </c>
      <c r="N31" s="24">
        <f>IF(AND(J31&lt;&gt;"",I31&lt;J31),"⚠ ORDER","✓ OK")</f>
      </c>
      <c r="O31" s="25" t="s">
        <v>27</v>
      </c>
    </row>
    <row r="32" ht="18" customHeight="1" spans="1:15" x14ac:dyDescent="0.25">
      <c r="A32" s="10" t="s">
        <v>73</v>
      </c>
      <c r="B32" s="10" t="s">
        <v>82</v>
      </c>
      <c r="C32" s="11" t="s">
        <v>83</v>
      </c>
      <c r="D32" s="12">
        <v>20</v>
      </c>
      <c r="E32" s="10" t="s">
        <v>66</v>
      </c>
      <c r="F32" s="13" t="s">
        <v>84</v>
      </c>
      <c r="G32" s="11">
        <v>2</v>
      </c>
      <c r="H32" s="11">
        <v>3</v>
      </c>
      <c r="I32" s="11">
        <v>2</v>
      </c>
      <c r="J32" s="14">
        <v>2</v>
      </c>
      <c r="K32" s="15">
        <f>G32+H32-I32</f>
      </c>
      <c r="L32" s="16">
        <f>I32*D32</f>
      </c>
      <c r="M32" s="17">
        <f>K32*D32</f>
      </c>
      <c r="N32" s="18">
        <f>IF(AND(J32&lt;&gt;"",I32&lt;J32),"⚠ ORDER","✓ OK")</f>
      </c>
      <c r="O32" s="19" t="s">
        <v>27</v>
      </c>
    </row>
    <row r="33" ht="18" customHeight="1" spans="1:15" x14ac:dyDescent="0.25">
      <c r="A33" s="9" t="s">
        <v>85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</row>
    <row r="34" ht="18" customHeight="1" spans="1:15" x14ac:dyDescent="0.25">
      <c r="A34" s="10" t="s">
        <v>86</v>
      </c>
      <c r="B34" s="10" t="s">
        <v>87</v>
      </c>
      <c r="C34" s="11" t="s">
        <v>88</v>
      </c>
      <c r="D34" s="12">
        <v>8.5</v>
      </c>
      <c r="E34" s="10" t="s">
        <v>89</v>
      </c>
      <c r="F34" s="13" t="s">
        <v>90</v>
      </c>
      <c r="G34" s="11">
        <v>12</v>
      </c>
      <c r="H34" s="11">
        <v>24</v>
      </c>
      <c r="I34" s="11">
        <v>10</v>
      </c>
      <c r="J34" s="14">
        <v>12</v>
      </c>
      <c r="K34" s="15">
        <f>G34+H34-I34</f>
      </c>
      <c r="L34" s="16">
        <f>I34*D34</f>
      </c>
      <c r="M34" s="17">
        <f>K34*D34</f>
      </c>
      <c r="N34" s="18">
        <f>IF(AND(J34&lt;&gt;"",I34&lt;J34),"⚠ ORDER","✓ OK")</f>
      </c>
      <c r="O34" s="19" t="s">
        <v>27</v>
      </c>
    </row>
    <row r="35" ht="18" customHeight="1" spans="1:15" x14ac:dyDescent="0.25">
      <c r="A35" s="20" t="s">
        <v>86</v>
      </c>
      <c r="B35" s="20" t="s">
        <v>91</v>
      </c>
      <c r="C35" s="21" t="s">
        <v>88</v>
      </c>
      <c r="D35" s="22">
        <v>8</v>
      </c>
      <c r="E35" s="20" t="s">
        <v>89</v>
      </c>
      <c r="F35" s="23" t="s">
        <v>90</v>
      </c>
      <c r="G35" s="21">
        <v>12</v>
      </c>
      <c r="H35" s="21">
        <v>24</v>
      </c>
      <c r="I35" s="21">
        <v>9</v>
      </c>
      <c r="J35" s="14">
        <v>12</v>
      </c>
      <c r="K35" s="15">
        <f>G35+H35-I35</f>
      </c>
      <c r="L35" s="16">
        <f>I35*D35</f>
      </c>
      <c r="M35" s="17">
        <f>K35*D35</f>
      </c>
      <c r="N35" s="24">
        <f>IF(AND(J35&lt;&gt;"",I35&lt;J35),"⚠ ORDER","✓ OK")</f>
      </c>
      <c r="O35" s="25" t="s">
        <v>27</v>
      </c>
    </row>
    <row r="36" ht="18" customHeight="1" spans="1:15" x14ac:dyDescent="0.25">
      <c r="A36" s="10" t="s">
        <v>86</v>
      </c>
      <c r="B36" s="10" t="s">
        <v>92</v>
      </c>
      <c r="C36" s="11" t="s">
        <v>88</v>
      </c>
      <c r="D36" s="12">
        <v>14</v>
      </c>
      <c r="E36" s="10" t="s">
        <v>89</v>
      </c>
      <c r="F36" s="13" t="s">
        <v>27</v>
      </c>
      <c r="G36" s="11">
        <v>6</v>
      </c>
      <c r="H36" s="11">
        <v>6</v>
      </c>
      <c r="I36" s="11">
        <v>4</v>
      </c>
      <c r="J36" s="14">
        <v>4</v>
      </c>
      <c r="K36" s="15">
        <f>G36+H36-I36</f>
      </c>
      <c r="L36" s="16">
        <f>I36*D36</f>
      </c>
      <c r="M36" s="17">
        <f>K36*D36</f>
      </c>
      <c r="N36" s="18">
        <f>IF(AND(J36&lt;&gt;"",I36&lt;J36),"⚠ ORDER","✓ OK")</f>
      </c>
      <c r="O36" s="19" t="s">
        <v>27</v>
      </c>
    </row>
    <row r="37" ht="18" customHeight="1" spans="1:15" x14ac:dyDescent="0.25">
      <c r="A37" s="20" t="s">
        <v>86</v>
      </c>
      <c r="B37" s="20" t="s">
        <v>93</v>
      </c>
      <c r="C37" s="21" t="s">
        <v>38</v>
      </c>
      <c r="D37" s="22">
        <v>110</v>
      </c>
      <c r="E37" s="20" t="s">
        <v>94</v>
      </c>
      <c r="F37" s="23" t="s">
        <v>95</v>
      </c>
      <c r="G37" s="21">
        <v>2</v>
      </c>
      <c r="H37" s="21">
        <v>2</v>
      </c>
      <c r="I37" s="21">
        <v>1</v>
      </c>
      <c r="J37" s="14">
        <v>2</v>
      </c>
      <c r="K37" s="15">
        <f>G37+H37-I37</f>
      </c>
      <c r="L37" s="16">
        <f>I37*D37</f>
      </c>
      <c r="M37" s="17">
        <f>K37*D37</f>
      </c>
      <c r="N37" s="24">
        <f>IF(AND(J37&lt;&gt;"",I37&lt;J37),"⚠ ORDER","✓ OK")</f>
      </c>
      <c r="O37" s="25" t="s">
        <v>27</v>
      </c>
    </row>
    <row r="38" ht="18" customHeight="1" spans="1:15" x14ac:dyDescent="0.25">
      <c r="A38" s="9" t="s">
        <v>96</v>
      </c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</row>
    <row r="39" ht="18" customHeight="1" spans="1:15" x14ac:dyDescent="0.25">
      <c r="A39" s="20" t="s">
        <v>97</v>
      </c>
      <c r="B39" s="20" t="s">
        <v>98</v>
      </c>
      <c r="C39" s="21" t="s">
        <v>56</v>
      </c>
      <c r="D39" s="22">
        <v>9.5</v>
      </c>
      <c r="E39" s="20" t="s">
        <v>99</v>
      </c>
      <c r="F39" s="23" t="s">
        <v>27</v>
      </c>
      <c r="G39" s="21">
        <v>2</v>
      </c>
      <c r="H39" s="21">
        <v>2</v>
      </c>
      <c r="I39" s="21">
        <v>1</v>
      </c>
      <c r="J39" s="14">
        <v>2</v>
      </c>
      <c r="K39" s="15">
        <f>G39+H39-I39</f>
      </c>
      <c r="L39" s="16">
        <f>I39*D39</f>
      </c>
      <c r="M39" s="17">
        <f>K39*D39</f>
      </c>
      <c r="N39" s="24">
        <f>IF(AND(J39&lt;&gt;"",I39&lt;J39),"⚠ ORDER","✓ OK")</f>
      </c>
      <c r="O39" s="25" t="s">
        <v>27</v>
      </c>
    </row>
    <row r="40" ht="18" customHeight="1" spans="1:15" x14ac:dyDescent="0.25">
      <c r="A40" s="10" t="s">
        <v>97</v>
      </c>
      <c r="B40" s="10" t="s">
        <v>100</v>
      </c>
      <c r="C40" s="11" t="s">
        <v>101</v>
      </c>
      <c r="D40" s="12">
        <v>6</v>
      </c>
      <c r="E40" s="10" t="s">
        <v>99</v>
      </c>
      <c r="F40" s="13" t="s">
        <v>27</v>
      </c>
      <c r="G40" s="11">
        <v>3</v>
      </c>
      <c r="H40" s="11">
        <v>3</v>
      </c>
      <c r="I40" s="11">
        <v>2</v>
      </c>
      <c r="J40" s="14">
        <v>2</v>
      </c>
      <c r="K40" s="15">
        <f>G40+H40-I40</f>
      </c>
      <c r="L40" s="16">
        <f>I40*D40</f>
      </c>
      <c r="M40" s="17">
        <f>K40*D40</f>
      </c>
      <c r="N40" s="18">
        <f>IF(AND(J40&lt;&gt;"",I40&lt;J40),"⚠ ORDER","✓ OK")</f>
      </c>
      <c r="O40" s="19" t="s">
        <v>27</v>
      </c>
    </row>
    <row r="41" ht="18" customHeight="1" spans="1:15" x14ac:dyDescent="0.25">
      <c r="A41" s="20" t="s">
        <v>97</v>
      </c>
      <c r="B41" s="20" t="s">
        <v>102</v>
      </c>
      <c r="C41" s="21" t="s">
        <v>101</v>
      </c>
      <c r="D41" s="22">
        <v>7.5</v>
      </c>
      <c r="E41" s="20" t="s">
        <v>99</v>
      </c>
      <c r="F41" s="23" t="s">
        <v>27</v>
      </c>
      <c r="G41" s="21">
        <v>4</v>
      </c>
      <c r="H41" s="21">
        <v>4</v>
      </c>
      <c r="I41" s="21">
        <v>2</v>
      </c>
      <c r="J41" s="14">
        <v>3</v>
      </c>
      <c r="K41" s="15">
        <f>G41+H41-I41</f>
      </c>
      <c r="L41" s="16">
        <f>I41*D41</f>
      </c>
      <c r="M41" s="17">
        <f>K41*D41</f>
      </c>
      <c r="N41" s="24">
        <f>IF(AND(J41&lt;&gt;"",I41&lt;J41),"⚠ ORDER","✓ OK")</f>
      </c>
      <c r="O41" s="25" t="s">
        <v>27</v>
      </c>
    </row>
    <row r="42" ht="18" customHeight="1" spans="1:15" x14ac:dyDescent="0.25">
      <c r="A42" s="10" t="s">
        <v>97</v>
      </c>
      <c r="B42" s="10" t="s">
        <v>103</v>
      </c>
      <c r="C42" s="11" t="s">
        <v>101</v>
      </c>
      <c r="D42" s="12">
        <v>11</v>
      </c>
      <c r="E42" s="10" t="s">
        <v>99</v>
      </c>
      <c r="F42" s="13" t="s">
        <v>71</v>
      </c>
      <c r="G42" s="11">
        <v>2</v>
      </c>
      <c r="H42" s="11">
        <v>2</v>
      </c>
      <c r="I42" s="11">
        <v>1</v>
      </c>
      <c r="J42" s="14">
        <v>2</v>
      </c>
      <c r="K42" s="15">
        <f>G42+H42-I42</f>
      </c>
      <c r="L42" s="16">
        <f>I42*D42</f>
      </c>
      <c r="M42" s="17">
        <f>K42*D42</f>
      </c>
      <c r="N42" s="18">
        <f>IF(AND(J42&lt;&gt;"",I42&lt;J42),"⚠ ORDER","✓ OK")</f>
      </c>
      <c r="O42" s="19" t="s">
        <v>27</v>
      </c>
    </row>
    <row r="43" ht="6" customHeight="1" x14ac:dyDescent="0.25"/>
    <row r="44" ht="20" customHeight="1" spans="1:15" x14ac:dyDescent="0.25">
      <c r="A44" s="26" t="s">
        <v>104</v>
      </c>
      <c r="B44" s="26"/>
      <c r="C44" s="26"/>
      <c r="D44" s="26"/>
      <c r="E44" s="26"/>
      <c r="F44" s="26"/>
      <c r="G44" s="26"/>
      <c r="H44" s="26"/>
      <c r="I44" s="26"/>
      <c r="J44" s="26"/>
      <c r="K44" s="27"/>
      <c r="L44" s="28">
        <f>SUMIF(A6:A9,"Produce",L6:L9)</f>
      </c>
      <c r="M44" s="28">
        <f>SUMIF(A6:A9,"Produce",M6:M9)</f>
      </c>
      <c r="N44" s="29">
        <f>COUNTIF(N6:N9,"⚠ ORDER")&amp;" items need reorder"</f>
      </c>
      <c r="O44" s="27"/>
    </row>
    <row r="45" ht="20" customHeight="1" spans="1:15" x14ac:dyDescent="0.25">
      <c r="A45" s="26" t="s">
        <v>105</v>
      </c>
      <c r="B45" s="26"/>
      <c r="C45" s="26"/>
      <c r="D45" s="26"/>
      <c r="E45" s="26"/>
      <c r="F45" s="26"/>
      <c r="G45" s="26"/>
      <c r="H45" s="26"/>
      <c r="I45" s="26"/>
      <c r="J45" s="26"/>
      <c r="K45" s="27"/>
      <c r="L45" s="28">
        <f>SUMIF(A11:A15,"Meat &amp; Seafood",L11:L15)</f>
      </c>
      <c r="M45" s="28">
        <f>SUMIF(A11:A15,"Meat &amp; Seafood",M11:M15)</f>
      </c>
      <c r="N45" s="29">
        <f>COUNTIF(N11:N15,"⚠ ORDER")&amp;" items need reorder"</f>
      </c>
      <c r="O45" s="27"/>
    </row>
    <row r="46" ht="20" customHeight="1" spans="1:15" x14ac:dyDescent="0.25">
      <c r="A46" s="26" t="s">
        <v>106</v>
      </c>
      <c r="B46" s="26"/>
      <c r="C46" s="26"/>
      <c r="D46" s="26"/>
      <c r="E46" s="26"/>
      <c r="F46" s="26"/>
      <c r="G46" s="26"/>
      <c r="H46" s="26"/>
      <c r="I46" s="26"/>
      <c r="J46" s="26"/>
      <c r="K46" s="27"/>
      <c r="L46" s="28">
        <f>SUMIF(A17:A21,"Dairy &amp; Eggs",L17:L21)</f>
      </c>
      <c r="M46" s="28">
        <f>SUMIF(A17:A21,"Dairy &amp; Eggs",M17:M21)</f>
      </c>
      <c r="N46" s="29">
        <f>COUNTIF(N17:N21,"⚠ ORDER")&amp;" items need reorder"</f>
      </c>
      <c r="O46" s="27"/>
    </row>
    <row r="47" ht="20" customHeight="1" spans="1:15" x14ac:dyDescent="0.25">
      <c r="A47" s="26" t="s">
        <v>107</v>
      </c>
      <c r="B47" s="26"/>
      <c r="C47" s="26"/>
      <c r="D47" s="26"/>
      <c r="E47" s="26"/>
      <c r="F47" s="26"/>
      <c r="G47" s="26"/>
      <c r="H47" s="26"/>
      <c r="I47" s="26"/>
      <c r="J47" s="26"/>
      <c r="K47" s="27"/>
      <c r="L47" s="28">
        <f>SUMIF(A23:A27,"Dry Goods &amp; Spices",L23:L27)</f>
      </c>
      <c r="M47" s="28">
        <f>SUMIF(A23:A27,"Dry Goods &amp; Spices",M23:M27)</f>
      </c>
      <c r="N47" s="29">
        <f>COUNTIF(N23:N27,"⚠ ORDER")&amp;" items need reorder"</f>
      </c>
      <c r="O47" s="27"/>
    </row>
    <row r="48" ht="20" customHeight="1" spans="1:15" x14ac:dyDescent="0.25">
      <c r="A48" s="26" t="s">
        <v>108</v>
      </c>
      <c r="B48" s="26"/>
      <c r="C48" s="26"/>
      <c r="D48" s="26"/>
      <c r="E48" s="26"/>
      <c r="F48" s="26"/>
      <c r="G48" s="26"/>
      <c r="H48" s="26"/>
      <c r="I48" s="26"/>
      <c r="J48" s="26"/>
      <c r="K48" s="27"/>
      <c r="L48" s="28">
        <f>SUMIF(A29:A32,"Beverages",L29:L32)</f>
      </c>
      <c r="M48" s="28">
        <f>SUMIF(A29:A32,"Beverages",M29:M32)</f>
      </c>
      <c r="N48" s="29">
        <f>COUNTIF(N29:N32,"⚠ ORDER")&amp;" items need reorder"</f>
      </c>
      <c r="O48" s="27"/>
    </row>
    <row r="49" ht="20" customHeight="1" spans="1:15" x14ac:dyDescent="0.25">
      <c r="A49" s="26" t="s">
        <v>109</v>
      </c>
      <c r="B49" s="26"/>
      <c r="C49" s="26"/>
      <c r="D49" s="26"/>
      <c r="E49" s="26"/>
      <c r="F49" s="26"/>
      <c r="G49" s="26"/>
      <c r="H49" s="26"/>
      <c r="I49" s="26"/>
      <c r="J49" s="26"/>
      <c r="K49" s="27"/>
      <c r="L49" s="28">
        <f>SUMIF(A34:A37,"Alcohol",L34:L37)</f>
      </c>
      <c r="M49" s="28">
        <f>SUMIF(A34:A37,"Alcohol",M34:M37)</f>
      </c>
      <c r="N49" s="29">
        <f>COUNTIF(N34:N37,"⚠ ORDER")&amp;" items need reorder"</f>
      </c>
      <c r="O49" s="27"/>
    </row>
    <row r="50" ht="20" customHeight="1" spans="1:15" x14ac:dyDescent="0.25">
      <c r="A50" s="26" t="s">
        <v>110</v>
      </c>
      <c r="B50" s="26"/>
      <c r="C50" s="26"/>
      <c r="D50" s="26"/>
      <c r="E50" s="26"/>
      <c r="F50" s="26"/>
      <c r="G50" s="26"/>
      <c r="H50" s="26"/>
      <c r="I50" s="26"/>
      <c r="J50" s="26"/>
      <c r="K50" s="27"/>
      <c r="L50" s="28">
        <f>SUMIF(A39:A42,"Cleaning &amp; Supplies",L39:L42)</f>
      </c>
      <c r="M50" s="28">
        <f>SUMIF(A39:A42,"Cleaning &amp; Supplies",M39:M42)</f>
      </c>
      <c r="N50" s="29">
        <f>COUNTIF(N39:N42,"⚠ ORDER")&amp;" items need reorder"</f>
      </c>
      <c r="O50" s="27"/>
    </row>
    <row r="51" ht="24" customHeight="1" spans="1:15" x14ac:dyDescent="0.25">
      <c r="A51" s="8" t="s">
        <v>111</v>
      </c>
      <c r="B51" s="8"/>
      <c r="C51" s="8"/>
      <c r="D51" s="8"/>
      <c r="E51" s="8"/>
      <c r="F51" s="8"/>
      <c r="G51" s="8"/>
      <c r="H51" s="8"/>
      <c r="I51" s="8"/>
      <c r="J51" s="8"/>
      <c r="K51" s="8"/>
      <c r="L51" s="30">
        <f>SUM(L5:L50)</f>
      </c>
      <c r="M51" s="30">
        <f>SUM(M5:M50)</f>
      </c>
      <c r="N51" s="31">
        <f>COUNTIF(N5:N50,"⚠ ORDER")&amp;" items need reorder"</f>
      </c>
      <c r="O51" s="32"/>
    </row>
  </sheetData>
  <sheetProtection sheet="1" formatCells="0" formatColumns="0" formatRows="0" insertRows="0" deleteRows="0" sort="0" autoFilter="0" algorithmName="SHA-512" hashValue="wCHqdLTOAwBcx/Owozr4ChGvKdOJTJh+CqL7MtggyCoQRu5fg2FWS4spPitUca3/cG+9pLTSaMJAeJyJS+mtvw==" saltValue="qx38hXfVWj8rFN9YwREm+g==" spinCount="100000"/>
  <mergeCells count="21">
    <mergeCell ref="A1:O1"/>
    <mergeCell ref="A2:B2"/>
    <mergeCell ref="D2:F2"/>
    <mergeCell ref="H2:J2"/>
    <mergeCell ref="L2:M2"/>
    <mergeCell ref="A3:O3"/>
    <mergeCell ref="A5:O5"/>
    <mergeCell ref="A10:O10"/>
    <mergeCell ref="A16:O16"/>
    <mergeCell ref="A22:O22"/>
    <mergeCell ref="A28:O28"/>
    <mergeCell ref="A33:O33"/>
    <mergeCell ref="A38:O38"/>
    <mergeCell ref="A44:J44"/>
    <mergeCell ref="A45:J45"/>
    <mergeCell ref="A46:J46"/>
    <mergeCell ref="A47:J47"/>
    <mergeCell ref="A48:J48"/>
    <mergeCell ref="A49:J49"/>
    <mergeCell ref="A50:J50"/>
    <mergeCell ref="A51:K51"/>
  </mergeCells>
  <conditionalFormatting sqref="F5:F50">
    <cfRule type="expression" dxfId="0" priority="1">
      <formula>AND(F5&lt;&gt;"",DATEVALUE(F5)&lt;TODAY())</formula>
    </cfRule>
    <cfRule type="expression" dxfId="1" priority="2">
      <formula>AND(F5&lt;&gt;"",DATEVALUE(F5)&gt;=TODAY(),DATEVALUE(F5)&lt;=TODAY()+7)</formula>
    </cfRule>
  </conditionalFormatting>
  <conditionalFormatting sqref="N5:N50">
    <cfRule type="containsText" dxfId="2" priority="1">
      <formula>NOT(ISERROR(SEARCH("⚠ ORDER",N5)))</formula>
    </cfRule>
  </conditionalFormatting>
  <dataValidations count="14">
    <dataValidation type="list" allowBlank="1" showErrorMessage="1" errorTitle="Invalid Category" error="Choose from: Produce, Meat &amp; Seafood, Dairy &amp; Eggs, Dry Goods &amp; Spices, Beverages, Alcohol, Cleaning &amp; Supplies" sqref="A11:A15">
      <formula1>"Produce,Meat &amp; Seafood,Dairy &amp; Eggs,Dry Goods &amp; Spices,Beverages,Alcohol,Cleaning &amp; Supplies"</formula1>
    </dataValidation>
    <dataValidation type="list" allowBlank="1" showErrorMessage="1" errorTitle="Invalid Category" error="Choose from: Produce, Meat &amp; Seafood, Dairy &amp; Eggs, Dry Goods &amp; Spices, Beverages, Alcohol, Cleaning &amp; Supplies" sqref="A17:A21">
      <formula1>"Produce,Meat &amp; Seafood,Dairy &amp; Eggs,Dry Goods &amp; Spices,Beverages,Alcohol,Cleaning &amp; Supplies"</formula1>
    </dataValidation>
    <dataValidation type="list" allowBlank="1" showErrorMessage="1" errorTitle="Invalid Category" error="Choose from: Produce, Meat &amp; Seafood, Dairy &amp; Eggs, Dry Goods &amp; Spices, Beverages, Alcohol, Cleaning &amp; Supplies" sqref="A23:A27">
      <formula1>"Produce,Meat &amp; Seafood,Dairy &amp; Eggs,Dry Goods &amp; Spices,Beverages,Alcohol,Cleaning &amp; Supplies"</formula1>
    </dataValidation>
    <dataValidation type="list" allowBlank="1" showErrorMessage="1" errorTitle="Invalid Category" error="Choose from: Produce, Meat &amp; Seafood, Dairy &amp; Eggs, Dry Goods &amp; Spices, Beverages, Alcohol, Cleaning &amp; Supplies" sqref="A29:A32">
      <formula1>"Produce,Meat &amp; Seafood,Dairy &amp; Eggs,Dry Goods &amp; Spices,Beverages,Alcohol,Cleaning &amp; Supplies"</formula1>
    </dataValidation>
    <dataValidation type="list" allowBlank="1" showErrorMessage="1" errorTitle="Invalid Category" error="Choose from: Produce, Meat &amp; Seafood, Dairy &amp; Eggs, Dry Goods &amp; Spices, Beverages, Alcohol, Cleaning &amp; Supplies" sqref="A34:A37">
      <formula1>"Produce,Meat &amp; Seafood,Dairy &amp; Eggs,Dry Goods &amp; Spices,Beverages,Alcohol,Cleaning &amp; Supplies"</formula1>
    </dataValidation>
    <dataValidation type="list" allowBlank="1" showErrorMessage="1" errorTitle="Invalid Category" error="Choose from: Produce, Meat &amp; Seafood, Dairy &amp; Eggs, Dry Goods &amp; Spices, Beverages, Alcohol, Cleaning &amp; Supplies" sqref="A39:A42">
      <formula1>"Produce,Meat &amp; Seafood,Dairy &amp; Eggs,Dry Goods &amp; Spices,Beverages,Alcohol,Cleaning &amp; Supplies"</formula1>
    </dataValidation>
    <dataValidation type="list" allowBlank="1" showErrorMessage="1" errorTitle="Invalid Category" error="Choose from: Produce, Meat &amp; Seafood, Dairy &amp; Eggs, Dry Goods &amp; Spices, Beverages, Alcohol, Cleaning &amp; Supplies" sqref="A6:A9">
      <formula1>"Produce,Meat &amp; Seafood,Dairy &amp; Eggs,Dry Goods &amp; Spices,Beverages,Alcohol,Cleaning &amp; Supplies"</formula1>
    </dataValidation>
    <dataValidation type="list" allowBlank="1" sqref="C11:C15">
      <formula1>"each,lb,oz,kg,gallon,qt,liter,bag,case,box,bottle,bunch,head,slice,portion"</formula1>
    </dataValidation>
    <dataValidation type="list" allowBlank="1" sqref="C17:C21">
      <formula1>"each,lb,oz,kg,gallon,qt,liter,bag,case,box,bottle,bunch,head,slice,portion"</formula1>
    </dataValidation>
    <dataValidation type="list" allowBlank="1" sqref="C23:C27">
      <formula1>"each,lb,oz,kg,gallon,qt,liter,bag,case,box,bottle,bunch,head,slice,portion"</formula1>
    </dataValidation>
    <dataValidation type="list" allowBlank="1" sqref="C29:C32">
      <formula1>"each,lb,oz,kg,gallon,qt,liter,bag,case,box,bottle,bunch,head,slice,portion"</formula1>
    </dataValidation>
    <dataValidation type="list" allowBlank="1" sqref="C34:C37">
      <formula1>"each,lb,oz,kg,gallon,qt,liter,bag,case,box,bottle,bunch,head,slice,portion"</formula1>
    </dataValidation>
    <dataValidation type="list" allowBlank="1" sqref="C39:C42">
      <formula1>"each,lb,oz,kg,gallon,qt,liter,bag,case,box,bottle,bunch,head,slice,portion"</formula1>
    </dataValidation>
    <dataValidation type="list" allowBlank="1" sqref="C6:C9">
      <formula1>"each,lb,oz,kg,gallon,qt,liter,bag,case,box,bottle,bunch,head,slice,portion"</formula1>
    </dataValidation>
  </dataValidations>
  <pageMargins left="0.7" right="0.7" top="0.75" bottom="0.75" header="0.3" footer="0.3"/>
  <pageSetup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E7D32"/>
  </sheetPr>
  <dimension ref="A1:E50"/>
  <sheetViews>
    <sheetView workbookViewId="0" showGridLines="0"/>
  </sheetViews>
  <sheetFormatPr defaultRowHeight="15" outlineLevelRow="0" outlineLevelCol="0" x14ac:dyDescent="55"/>
  <cols>
    <col min="1" max="1" width="28" customWidth="1"/>
    <col min="2" max="2" width="18" customWidth="1"/>
    <col min="3" max="3" width="28" customWidth="1"/>
    <col min="4" max="4" width="18" customWidth="1"/>
    <col min="5" max="5" width="20" customWidth="1"/>
  </cols>
  <sheetData>
    <row r="1" ht="34" customHeight="1" spans="1:5" x14ac:dyDescent="0.25">
      <c r="A1" s="33" t="s">
        <v>112</v>
      </c>
      <c r="B1" s="33"/>
      <c r="C1" s="33"/>
      <c r="D1" s="33"/>
      <c r="E1" s="33"/>
    </row>
    <row r="2" ht="18" customHeight="1" spans="1:5" x14ac:dyDescent="0.25">
      <c r="A2" s="34" t="s">
        <v>113</v>
      </c>
      <c r="B2" s="34"/>
      <c r="C2" s="34"/>
      <c r="D2" s="34"/>
      <c r="E2" s="34"/>
    </row>
    <row r="3" ht="10" customHeight="1" x14ac:dyDescent="0.25"/>
    <row r="4" ht="16" customHeight="1" spans="1:4" x14ac:dyDescent="0.25">
      <c r="A4" s="35" t="s">
        <v>114</v>
      </c>
      <c r="B4" s="35"/>
      <c r="C4" s="36" t="s">
        <v>115</v>
      </c>
      <c r="D4" s="36"/>
    </row>
    <row r="5" ht="30" customHeight="1" spans="1:4" x14ac:dyDescent="0.25">
      <c r="A5" s="37">
        <f>'Weekly Count'!M51</f>
      </c>
      <c r="B5" s="37"/>
      <c r="C5" s="38">
        <f>'Weekly Count'!L51</f>
      </c>
      <c r="D5" s="38"/>
    </row>
    <row r="6" ht="8" customHeight="1" x14ac:dyDescent="0.25"/>
    <row r="7" ht="16" customHeight="1" spans="1:4" x14ac:dyDescent="0.25">
      <c r="A7" s="39" t="s">
        <v>116</v>
      </c>
      <c r="B7" s="39"/>
      <c r="C7" s="40" t="s">
        <v>117</v>
      </c>
      <c r="D7" s="40"/>
    </row>
    <row r="8" ht="30" customHeight="1" spans="1:4" x14ac:dyDescent="0.25">
      <c r="A8" s="41">
        <f>IF('Weekly Count'!K2&gt;0,'Weekly Count'!M51/'Weekly Count'!K2,0)</f>
      </c>
      <c r="B8" s="41"/>
      <c r="C8" s="42">
        <f>'Weekly Count'!K2</f>
      </c>
      <c r="D8" s="42"/>
    </row>
    <row r="9" ht="8" customHeight="1" x14ac:dyDescent="0.25"/>
    <row r="10" ht="16" customHeight="1" spans="1:4" x14ac:dyDescent="0.25">
      <c r="A10" s="43" t="s">
        <v>118</v>
      </c>
      <c r="B10" s="43"/>
      <c r="C10" s="44" t="s">
        <v>119</v>
      </c>
      <c r="D10" s="44"/>
    </row>
    <row r="11" ht="30" customHeight="1" spans="1:4" x14ac:dyDescent="0.25">
      <c r="A11" s="45">
        <f>COUNTIF('Weekly Count'!N5:N50,"⚠ ORDER")</f>
      </c>
      <c r="B11" s="45"/>
      <c r="C11" s="46">
        <f>COUNTIF('Weekly Count'!F5:F50,"&lt;="&amp;TEXT(TODAY()+7,"yyyy-mm-dd"))-COUNTIF('Weekly Count'!F5:F50,"&lt;="&amp;TEXT(TODAY()-1,"yyyy-mm-dd"))-COUNTIF('Weekly Count'!F5:F50,"")</f>
      </c>
      <c r="D11" s="46"/>
    </row>
    <row r="12" ht="8" customHeight="1" x14ac:dyDescent="0.25"/>
    <row r="14" ht="20" customHeight="1" spans="1:5" x14ac:dyDescent="0.25">
      <c r="A14" s="47" t="s">
        <v>120</v>
      </c>
      <c r="B14" s="47"/>
      <c r="C14" s="47"/>
      <c r="D14" s="47"/>
      <c r="E14" s="47"/>
    </row>
    <row r="15" ht="18" customHeight="1" spans="1:5" x14ac:dyDescent="0.25">
      <c r="A15" s="48" t="s">
        <v>6</v>
      </c>
      <c r="B15" s="49" t="s">
        <v>18</v>
      </c>
      <c r="C15" s="49" t="s">
        <v>121</v>
      </c>
      <c r="D15" s="49" t="s">
        <v>122</v>
      </c>
      <c r="E15" s="48" t="s">
        <v>123</v>
      </c>
    </row>
    <row r="16" ht="20" customHeight="1" spans="1:5" x14ac:dyDescent="0.25">
      <c r="A16" s="50" t="s">
        <v>22</v>
      </c>
      <c r="B16" s="51">
        <f>SUMIF('Weekly Count'!A6:A9,"Produce",'Weekly Count'!M6:M9)</f>
      </c>
      <c r="C16" s="52">
        <f>IF('Weekly Count'!M51&gt;0,SUMIF('Weekly Count'!A6:A9,"Produce",'Weekly Count'!M6:M9)/'Weekly Count'!M51,0)</f>
      </c>
      <c r="D16" s="51">
        <f>SUMIF('Weekly Count'!A6:A9,"Produce",'Weekly Count'!L6:L9)</f>
      </c>
      <c r="E16" s="53">
        <f>IFERROR(REPT("█",ROUND((SUMIF('Weekly Count'!A6:A9,"Produce",'Weekly Count'!M6:M9)/'Weekly Count'!M51)*30,0))&amp;" "&amp;TEXT(IF('Weekly Count'!M51&gt;0,SUMIF('Weekly Count'!A6:A9,"Produce",'Weekly Count'!M6:M9)/'Weekly Count'!M51,0),"0%"),"")</f>
      </c>
    </row>
    <row r="17" ht="20" customHeight="1" spans="1:5" x14ac:dyDescent="0.25">
      <c r="A17" s="50" t="s">
        <v>36</v>
      </c>
      <c r="B17" s="51">
        <f>SUMIF('Weekly Count'!A11:A15,"Meat &amp; Seafood",'Weekly Count'!M11:M15)</f>
      </c>
      <c r="C17" s="52">
        <f>IF('Weekly Count'!M51&gt;0,SUMIF('Weekly Count'!A11:A15,"Meat &amp; Seafood",'Weekly Count'!M11:M15)/'Weekly Count'!M51,0)</f>
      </c>
      <c r="D17" s="51">
        <f>SUMIF('Weekly Count'!A11:A15,"Meat &amp; Seafood",'Weekly Count'!L11:L15)</f>
      </c>
      <c r="E17" s="54">
        <f>IFERROR(REPT("█",ROUND((SUMIF('Weekly Count'!A11:A15,"Meat &amp; Seafood",'Weekly Count'!M11:M15)/'Weekly Count'!M51)*30,0))&amp;" "&amp;TEXT(IF('Weekly Count'!M51&gt;0,SUMIF('Weekly Count'!A11:A15,"Meat &amp; Seafood",'Weekly Count'!M11:M15)/'Weekly Count'!M51,0),"0%"),"")</f>
      </c>
    </row>
    <row r="18" ht="20" customHeight="1" spans="1:5" x14ac:dyDescent="0.25">
      <c r="A18" s="50" t="s">
        <v>49</v>
      </c>
      <c r="B18" s="51">
        <f>SUMIF('Weekly Count'!A17:A21,"Dairy &amp; Eggs",'Weekly Count'!M17:M21)</f>
      </c>
      <c r="C18" s="52">
        <f>IF('Weekly Count'!M51&gt;0,SUMIF('Weekly Count'!A17:A21,"Dairy &amp; Eggs",'Weekly Count'!M17:M21)/'Weekly Count'!M51,0)</f>
      </c>
      <c r="D18" s="51">
        <f>SUMIF('Weekly Count'!A17:A21,"Dairy &amp; Eggs",'Weekly Count'!L17:L21)</f>
      </c>
      <c r="E18" s="55">
        <f>IFERROR(REPT("█",ROUND((SUMIF('Weekly Count'!A17:A21,"Dairy &amp; Eggs",'Weekly Count'!M17:M21)/'Weekly Count'!M51)*30,0))&amp;" "&amp;TEXT(IF('Weekly Count'!M51&gt;0,SUMIF('Weekly Count'!A17:A21,"Dairy &amp; Eggs",'Weekly Count'!M17:M21)/'Weekly Count'!M51,0),"0%"),"")</f>
      </c>
    </row>
    <row r="19" ht="20" customHeight="1" spans="1:5" x14ac:dyDescent="0.25">
      <c r="A19" s="50" t="s">
        <v>62</v>
      </c>
      <c r="B19" s="51">
        <f>SUMIF('Weekly Count'!A23:A27,"Dry Goods &amp; Spices",'Weekly Count'!M23:M27)</f>
      </c>
      <c r="C19" s="52">
        <f>IF('Weekly Count'!M51&gt;0,SUMIF('Weekly Count'!A23:A27,"Dry Goods &amp; Spices",'Weekly Count'!M23:M27)/'Weekly Count'!M51,0)</f>
      </c>
      <c r="D19" s="51">
        <f>SUMIF('Weekly Count'!A23:A27,"Dry Goods &amp; Spices",'Weekly Count'!L23:L27)</f>
      </c>
      <c r="E19" s="56">
        <f>IFERROR(REPT("█",ROUND((SUMIF('Weekly Count'!A23:A27,"Dry Goods &amp; Spices",'Weekly Count'!M23:M27)/'Weekly Count'!M51)*30,0))&amp;" "&amp;TEXT(IF('Weekly Count'!M51&gt;0,SUMIF('Weekly Count'!A23:A27,"Dry Goods &amp; Spices",'Weekly Count'!M23:M27)/'Weekly Count'!M51,0),"0%"),"")</f>
      </c>
    </row>
    <row r="20" ht="20" customHeight="1" spans="1:5" x14ac:dyDescent="0.25">
      <c r="A20" s="50" t="s">
        <v>73</v>
      </c>
      <c r="B20" s="51">
        <f>SUMIF('Weekly Count'!A29:A32,"Beverages",'Weekly Count'!M29:M32)</f>
      </c>
      <c r="C20" s="52">
        <f>IF('Weekly Count'!M51&gt;0,SUMIF('Weekly Count'!A29:A32,"Beverages",'Weekly Count'!M29:M32)/'Weekly Count'!M51,0)</f>
      </c>
      <c r="D20" s="51">
        <f>SUMIF('Weekly Count'!A29:A32,"Beverages",'Weekly Count'!L29:L32)</f>
      </c>
      <c r="E20" s="57">
        <f>IFERROR(REPT("█",ROUND((SUMIF('Weekly Count'!A29:A32,"Beverages",'Weekly Count'!M29:M32)/'Weekly Count'!M51)*30,0))&amp;" "&amp;TEXT(IF('Weekly Count'!M51&gt;0,SUMIF('Weekly Count'!A29:A32,"Beverages",'Weekly Count'!M29:M32)/'Weekly Count'!M51,0),"0%"),"")</f>
      </c>
    </row>
    <row r="21" ht="20" customHeight="1" spans="1:5" x14ac:dyDescent="0.25">
      <c r="A21" s="50" t="s">
        <v>86</v>
      </c>
      <c r="B21" s="51">
        <f>SUMIF('Weekly Count'!A34:A37,"Alcohol",'Weekly Count'!M34:M37)</f>
      </c>
      <c r="C21" s="52">
        <f>IF('Weekly Count'!M51&gt;0,SUMIF('Weekly Count'!A34:A37,"Alcohol",'Weekly Count'!M34:M37)/'Weekly Count'!M51,0)</f>
      </c>
      <c r="D21" s="51">
        <f>SUMIF('Weekly Count'!A34:A37,"Alcohol",'Weekly Count'!L34:L37)</f>
      </c>
      <c r="E21" s="58">
        <f>IFERROR(REPT("█",ROUND((SUMIF('Weekly Count'!A34:A37,"Alcohol",'Weekly Count'!M34:M37)/'Weekly Count'!M51)*30,0))&amp;" "&amp;TEXT(IF('Weekly Count'!M51&gt;0,SUMIF('Weekly Count'!A34:A37,"Alcohol",'Weekly Count'!M34:M37)/'Weekly Count'!M51,0),"0%"),"")</f>
      </c>
    </row>
    <row r="22" ht="20" customHeight="1" spans="1:5" x14ac:dyDescent="0.25">
      <c r="A22" s="50" t="s">
        <v>97</v>
      </c>
      <c r="B22" s="51">
        <f>SUMIF('Weekly Count'!A39:A42,"Cleaning &amp; Supplies",'Weekly Count'!M39:M42)</f>
      </c>
      <c r="C22" s="52">
        <f>IF('Weekly Count'!M51&gt;0,SUMIF('Weekly Count'!A39:A42,"Cleaning &amp; Supplies",'Weekly Count'!M39:M42)/'Weekly Count'!M51,0)</f>
      </c>
      <c r="D22" s="51">
        <f>SUMIF('Weekly Count'!A39:A42,"Cleaning &amp; Supplies",'Weekly Count'!L39:L42)</f>
      </c>
      <c r="E22" s="59">
        <f>IFERROR(REPT("█",ROUND((SUMIF('Weekly Count'!A39:A42,"Cleaning &amp; Supplies",'Weekly Count'!M39:M42)/'Weekly Count'!M51)*30,0))&amp;" "&amp;TEXT(IF('Weekly Count'!M51&gt;0,SUMIF('Weekly Count'!A39:A42,"Cleaning &amp; Supplies",'Weekly Count'!M39:M42)/'Weekly Count'!M51,0),"0%"),"")</f>
      </c>
    </row>
    <row r="23" ht="20" customHeight="1" spans="1:5" x14ac:dyDescent="0.25">
      <c r="A23" s="60" t="s">
        <v>124</v>
      </c>
      <c r="B23" s="61">
        <f>'Weekly Count'!M51</f>
      </c>
      <c r="C23" s="62" t="s">
        <v>125</v>
      </c>
      <c r="D23" s="61">
        <f>'Weekly Count'!L51</f>
      </c>
      <c r="E23" s="63"/>
    </row>
    <row r="26" ht="20" customHeight="1" spans="1:5" x14ac:dyDescent="0.25">
      <c r="A26" s="64" t="s">
        <v>126</v>
      </c>
      <c r="B26" s="64"/>
      <c r="C26" s="64"/>
      <c r="D26" s="64"/>
      <c r="E26" s="64"/>
    </row>
    <row r="27" ht="16" customHeight="1" spans="1:5" x14ac:dyDescent="0.25">
      <c r="A27" s="65" t="s">
        <v>127</v>
      </c>
      <c r="B27" s="65" t="s">
        <v>6</v>
      </c>
      <c r="C27" s="65" t="s">
        <v>14</v>
      </c>
      <c r="D27" s="65" t="s">
        <v>128</v>
      </c>
      <c r="E27" s="65" t="s">
        <v>10</v>
      </c>
    </row>
    <row r="28" ht="17" customHeight="1" spans="1:5" x14ac:dyDescent="0.25">
      <c r="A28" s="50">
        <f>IFERROR(IF(IFERROR(SMALL(IF('Weekly Count'!N5:N50="⚠ ORDER",ROW('Weekly Count'!N5:N50)-ROW('Weekly Count'!N5)+1),1),0)=0,"",INDEX('Weekly Count'!B5:B50,IFERROR(SMALL(IF('Weekly Count'!N5:N50="⚠ ORDER",ROW('Weekly Count'!N5:N50)-ROW('Weekly Count'!N5)+1),1),0))),"")</f>
      </c>
      <c r="B28" s="66">
        <f>IFERROR(IF(IFERROR(SMALL(IF('Weekly Count'!N5:N50="⚠ ORDER",ROW('Weekly Count'!N5:N50)-ROW('Weekly Count'!N5)+1),1),0)=0,"",INDEX('Weekly Count'!A5:A50,IFERROR(SMALL(IF('Weekly Count'!N5:N50="⚠ ORDER",ROW('Weekly Count'!N5:N50)-ROW('Weekly Count'!N5)+1),1),0))),"")</f>
      </c>
      <c r="C28" s="67">
        <f>IFERROR(IF(IFERROR(SMALL(IF('Weekly Count'!N5:N50="⚠ ORDER",ROW('Weekly Count'!N5:N50)-ROW('Weekly Count'!N5)+1),1),0)=0,"",INDEX('Weekly Count'!I5:I50,IFERROR(SMALL(IF('Weekly Count'!N5:N50="⚠ ORDER",ROW('Weekly Count'!N5:N50)-ROW('Weekly Count'!N5)+1),1),0))),"")</f>
      </c>
      <c r="D28" s="68">
        <f>IFERROR(IF(IFERROR(SMALL(IF('Weekly Count'!N5:N50="⚠ ORDER",ROW('Weekly Count'!N5:N50)-ROW('Weekly Count'!N5)+1),1),0)=0,"",INDEX('Weekly Count'!J5:J50,IFERROR(SMALL(IF('Weekly Count'!N5:N50="⚠ ORDER",ROW('Weekly Count'!N5:N50)-ROW('Weekly Count'!N5)+1),1),0))),"")</f>
      </c>
      <c r="E28" s="66">
        <f>IFERROR(IF(IFERROR(SMALL(IF('Weekly Count'!N5:N50="⚠ ORDER",ROW('Weekly Count'!N5:N50)-ROW('Weekly Count'!N5)+1),1),0)=0,"",INDEX('Weekly Count'!E5:E50,IFERROR(SMALL(IF('Weekly Count'!N5:N50="⚠ ORDER",ROW('Weekly Count'!N5:N50)-ROW('Weekly Count'!N5)+1),1),0))),"")</f>
      </c>
    </row>
    <row r="29" ht="17" customHeight="1" spans="1:5" x14ac:dyDescent="0.25">
      <c r="A29" s="69">
        <f>IFERROR(IF(IFERROR(SMALL(IF('Weekly Count'!N5:N50="⚠ ORDER",ROW('Weekly Count'!N5:N50)-ROW('Weekly Count'!N5)+1),2),0)=0,"",INDEX('Weekly Count'!B5:B50,IFERROR(SMALL(IF('Weekly Count'!N5:N50="⚠ ORDER",ROW('Weekly Count'!N5:N50)-ROW('Weekly Count'!N5)+1),2),0))),"")</f>
      </c>
      <c r="B29" s="70">
        <f>IFERROR(IF(IFERROR(SMALL(IF('Weekly Count'!N5:N50="⚠ ORDER",ROW('Weekly Count'!N5:N50)-ROW('Weekly Count'!N5)+1),2),0)=0,"",INDEX('Weekly Count'!A5:A50,IFERROR(SMALL(IF('Weekly Count'!N5:N50="⚠ ORDER",ROW('Weekly Count'!N5:N50)-ROW('Weekly Count'!N5)+1),2),0))),"")</f>
      </c>
      <c r="C29" s="71">
        <f>IFERROR(IF(IFERROR(SMALL(IF('Weekly Count'!N5:N50="⚠ ORDER",ROW('Weekly Count'!N5:N50)-ROW('Weekly Count'!N5)+1),2),0)=0,"",INDEX('Weekly Count'!I5:I50,IFERROR(SMALL(IF('Weekly Count'!N5:N50="⚠ ORDER",ROW('Weekly Count'!N5:N50)-ROW('Weekly Count'!N5)+1),2),0))),"")</f>
      </c>
      <c r="D29" s="72">
        <f>IFERROR(IF(IFERROR(SMALL(IF('Weekly Count'!N5:N50="⚠ ORDER",ROW('Weekly Count'!N5:N50)-ROW('Weekly Count'!N5)+1),2),0)=0,"",INDEX('Weekly Count'!J5:J50,IFERROR(SMALL(IF('Weekly Count'!N5:N50="⚠ ORDER",ROW('Weekly Count'!N5:N50)-ROW('Weekly Count'!N5)+1),2),0))),"")</f>
      </c>
      <c r="E29" s="70">
        <f>IFERROR(IF(IFERROR(SMALL(IF('Weekly Count'!N5:N50="⚠ ORDER",ROW('Weekly Count'!N5:N50)-ROW('Weekly Count'!N5)+1),2),0)=0,"",INDEX('Weekly Count'!E5:E50,IFERROR(SMALL(IF('Weekly Count'!N5:N50="⚠ ORDER",ROW('Weekly Count'!N5:N50)-ROW('Weekly Count'!N5)+1),2),0))),"")</f>
      </c>
    </row>
    <row r="30" ht="17" customHeight="1" spans="1:5" x14ac:dyDescent="0.25">
      <c r="A30" s="50">
        <f>IFERROR(IF(IFERROR(SMALL(IF('Weekly Count'!N5:N50="⚠ ORDER",ROW('Weekly Count'!N5:N50)-ROW('Weekly Count'!N5)+1),3),0)=0,"",INDEX('Weekly Count'!B5:B50,IFERROR(SMALL(IF('Weekly Count'!N5:N50="⚠ ORDER",ROW('Weekly Count'!N5:N50)-ROW('Weekly Count'!N5)+1),3),0))),"")</f>
      </c>
      <c r="B30" s="66">
        <f>IFERROR(IF(IFERROR(SMALL(IF('Weekly Count'!N5:N50="⚠ ORDER",ROW('Weekly Count'!N5:N50)-ROW('Weekly Count'!N5)+1),3),0)=0,"",INDEX('Weekly Count'!A5:A50,IFERROR(SMALL(IF('Weekly Count'!N5:N50="⚠ ORDER",ROW('Weekly Count'!N5:N50)-ROW('Weekly Count'!N5)+1),3),0))),"")</f>
      </c>
      <c r="C30" s="67">
        <f>IFERROR(IF(IFERROR(SMALL(IF('Weekly Count'!N5:N50="⚠ ORDER",ROW('Weekly Count'!N5:N50)-ROW('Weekly Count'!N5)+1),3),0)=0,"",INDEX('Weekly Count'!I5:I50,IFERROR(SMALL(IF('Weekly Count'!N5:N50="⚠ ORDER",ROW('Weekly Count'!N5:N50)-ROW('Weekly Count'!N5)+1),3),0))),"")</f>
      </c>
      <c r="D30" s="68">
        <f>IFERROR(IF(IFERROR(SMALL(IF('Weekly Count'!N5:N50="⚠ ORDER",ROW('Weekly Count'!N5:N50)-ROW('Weekly Count'!N5)+1),3),0)=0,"",INDEX('Weekly Count'!J5:J50,IFERROR(SMALL(IF('Weekly Count'!N5:N50="⚠ ORDER",ROW('Weekly Count'!N5:N50)-ROW('Weekly Count'!N5)+1),3),0))),"")</f>
      </c>
      <c r="E30" s="66">
        <f>IFERROR(IF(IFERROR(SMALL(IF('Weekly Count'!N5:N50="⚠ ORDER",ROW('Weekly Count'!N5:N50)-ROW('Weekly Count'!N5)+1),3),0)=0,"",INDEX('Weekly Count'!E5:E50,IFERROR(SMALL(IF('Weekly Count'!N5:N50="⚠ ORDER",ROW('Weekly Count'!N5:N50)-ROW('Weekly Count'!N5)+1),3),0))),"")</f>
      </c>
    </row>
    <row r="31" ht="17" customHeight="1" spans="1:5" x14ac:dyDescent="0.25">
      <c r="A31" s="69">
        <f>IFERROR(IF(IFERROR(SMALL(IF('Weekly Count'!N5:N50="⚠ ORDER",ROW('Weekly Count'!N5:N50)-ROW('Weekly Count'!N5)+1),4),0)=0,"",INDEX('Weekly Count'!B5:B50,IFERROR(SMALL(IF('Weekly Count'!N5:N50="⚠ ORDER",ROW('Weekly Count'!N5:N50)-ROW('Weekly Count'!N5)+1),4),0))),"")</f>
      </c>
      <c r="B31" s="70">
        <f>IFERROR(IF(IFERROR(SMALL(IF('Weekly Count'!N5:N50="⚠ ORDER",ROW('Weekly Count'!N5:N50)-ROW('Weekly Count'!N5)+1),4),0)=0,"",INDEX('Weekly Count'!A5:A50,IFERROR(SMALL(IF('Weekly Count'!N5:N50="⚠ ORDER",ROW('Weekly Count'!N5:N50)-ROW('Weekly Count'!N5)+1),4),0))),"")</f>
      </c>
      <c r="C31" s="71">
        <f>IFERROR(IF(IFERROR(SMALL(IF('Weekly Count'!N5:N50="⚠ ORDER",ROW('Weekly Count'!N5:N50)-ROW('Weekly Count'!N5)+1),4),0)=0,"",INDEX('Weekly Count'!I5:I50,IFERROR(SMALL(IF('Weekly Count'!N5:N50="⚠ ORDER",ROW('Weekly Count'!N5:N50)-ROW('Weekly Count'!N5)+1),4),0))),"")</f>
      </c>
      <c r="D31" s="72">
        <f>IFERROR(IF(IFERROR(SMALL(IF('Weekly Count'!N5:N50="⚠ ORDER",ROW('Weekly Count'!N5:N50)-ROW('Weekly Count'!N5)+1),4),0)=0,"",INDEX('Weekly Count'!J5:J50,IFERROR(SMALL(IF('Weekly Count'!N5:N50="⚠ ORDER",ROW('Weekly Count'!N5:N50)-ROW('Weekly Count'!N5)+1),4),0))),"")</f>
      </c>
      <c r="E31" s="70">
        <f>IFERROR(IF(IFERROR(SMALL(IF('Weekly Count'!N5:N50="⚠ ORDER",ROW('Weekly Count'!N5:N50)-ROW('Weekly Count'!N5)+1),4),0)=0,"",INDEX('Weekly Count'!E5:E50,IFERROR(SMALL(IF('Weekly Count'!N5:N50="⚠ ORDER",ROW('Weekly Count'!N5:N50)-ROW('Weekly Count'!N5)+1),4),0))),"")</f>
      </c>
    </row>
    <row r="32" ht="17" customHeight="1" spans="1:5" x14ac:dyDescent="0.25">
      <c r="A32" s="50">
        <f>IFERROR(IF(IFERROR(SMALL(IF('Weekly Count'!N5:N50="⚠ ORDER",ROW('Weekly Count'!N5:N50)-ROW('Weekly Count'!N5)+1),5),0)=0,"",INDEX('Weekly Count'!B5:B50,IFERROR(SMALL(IF('Weekly Count'!N5:N50="⚠ ORDER",ROW('Weekly Count'!N5:N50)-ROW('Weekly Count'!N5)+1),5),0))),"")</f>
      </c>
      <c r="B32" s="66">
        <f>IFERROR(IF(IFERROR(SMALL(IF('Weekly Count'!N5:N50="⚠ ORDER",ROW('Weekly Count'!N5:N50)-ROW('Weekly Count'!N5)+1),5),0)=0,"",INDEX('Weekly Count'!A5:A50,IFERROR(SMALL(IF('Weekly Count'!N5:N50="⚠ ORDER",ROW('Weekly Count'!N5:N50)-ROW('Weekly Count'!N5)+1),5),0))),"")</f>
      </c>
      <c r="C32" s="67">
        <f>IFERROR(IF(IFERROR(SMALL(IF('Weekly Count'!N5:N50="⚠ ORDER",ROW('Weekly Count'!N5:N50)-ROW('Weekly Count'!N5)+1),5),0)=0,"",INDEX('Weekly Count'!I5:I50,IFERROR(SMALL(IF('Weekly Count'!N5:N50="⚠ ORDER",ROW('Weekly Count'!N5:N50)-ROW('Weekly Count'!N5)+1),5),0))),"")</f>
      </c>
      <c r="D32" s="68">
        <f>IFERROR(IF(IFERROR(SMALL(IF('Weekly Count'!N5:N50="⚠ ORDER",ROW('Weekly Count'!N5:N50)-ROW('Weekly Count'!N5)+1),5),0)=0,"",INDEX('Weekly Count'!J5:J50,IFERROR(SMALL(IF('Weekly Count'!N5:N50="⚠ ORDER",ROW('Weekly Count'!N5:N50)-ROW('Weekly Count'!N5)+1),5),0))),"")</f>
      </c>
      <c r="E32" s="66">
        <f>IFERROR(IF(IFERROR(SMALL(IF('Weekly Count'!N5:N50="⚠ ORDER",ROW('Weekly Count'!N5:N50)-ROW('Weekly Count'!N5)+1),5),0)=0,"",INDEX('Weekly Count'!E5:E50,IFERROR(SMALL(IF('Weekly Count'!N5:N50="⚠ ORDER",ROW('Weekly Count'!N5:N50)-ROW('Weekly Count'!N5)+1),5),0))),"")</f>
      </c>
    </row>
    <row r="33" ht="17" customHeight="1" spans="1:5" x14ac:dyDescent="0.25">
      <c r="A33" s="69">
        <f>IFERROR(IF(IFERROR(SMALL(IF('Weekly Count'!N5:N50="⚠ ORDER",ROW('Weekly Count'!N5:N50)-ROW('Weekly Count'!N5)+1),6),0)=0,"",INDEX('Weekly Count'!B5:B50,IFERROR(SMALL(IF('Weekly Count'!N5:N50="⚠ ORDER",ROW('Weekly Count'!N5:N50)-ROW('Weekly Count'!N5)+1),6),0))),"")</f>
      </c>
      <c r="B33" s="70">
        <f>IFERROR(IF(IFERROR(SMALL(IF('Weekly Count'!N5:N50="⚠ ORDER",ROW('Weekly Count'!N5:N50)-ROW('Weekly Count'!N5)+1),6),0)=0,"",INDEX('Weekly Count'!A5:A50,IFERROR(SMALL(IF('Weekly Count'!N5:N50="⚠ ORDER",ROW('Weekly Count'!N5:N50)-ROW('Weekly Count'!N5)+1),6),0))),"")</f>
      </c>
      <c r="C33" s="71">
        <f>IFERROR(IF(IFERROR(SMALL(IF('Weekly Count'!N5:N50="⚠ ORDER",ROW('Weekly Count'!N5:N50)-ROW('Weekly Count'!N5)+1),6),0)=0,"",INDEX('Weekly Count'!I5:I50,IFERROR(SMALL(IF('Weekly Count'!N5:N50="⚠ ORDER",ROW('Weekly Count'!N5:N50)-ROW('Weekly Count'!N5)+1),6),0))),"")</f>
      </c>
      <c r="D33" s="72">
        <f>IFERROR(IF(IFERROR(SMALL(IF('Weekly Count'!N5:N50="⚠ ORDER",ROW('Weekly Count'!N5:N50)-ROW('Weekly Count'!N5)+1),6),0)=0,"",INDEX('Weekly Count'!J5:J50,IFERROR(SMALL(IF('Weekly Count'!N5:N50="⚠ ORDER",ROW('Weekly Count'!N5:N50)-ROW('Weekly Count'!N5)+1),6),0))),"")</f>
      </c>
      <c r="E33" s="70">
        <f>IFERROR(IF(IFERROR(SMALL(IF('Weekly Count'!N5:N50="⚠ ORDER",ROW('Weekly Count'!N5:N50)-ROW('Weekly Count'!N5)+1),6),0)=0,"",INDEX('Weekly Count'!E5:E50,IFERROR(SMALL(IF('Weekly Count'!N5:N50="⚠ ORDER",ROW('Weekly Count'!N5:N50)-ROW('Weekly Count'!N5)+1),6),0))),"")</f>
      </c>
    </row>
    <row r="34" ht="17" customHeight="1" spans="1:5" x14ac:dyDescent="0.25">
      <c r="A34" s="50">
        <f>IFERROR(IF(IFERROR(SMALL(IF('Weekly Count'!N5:N50="⚠ ORDER",ROW('Weekly Count'!N5:N50)-ROW('Weekly Count'!N5)+1),7),0)=0,"",INDEX('Weekly Count'!B5:B50,IFERROR(SMALL(IF('Weekly Count'!N5:N50="⚠ ORDER",ROW('Weekly Count'!N5:N50)-ROW('Weekly Count'!N5)+1),7),0))),"")</f>
      </c>
      <c r="B34" s="66">
        <f>IFERROR(IF(IFERROR(SMALL(IF('Weekly Count'!N5:N50="⚠ ORDER",ROW('Weekly Count'!N5:N50)-ROW('Weekly Count'!N5)+1),7),0)=0,"",INDEX('Weekly Count'!A5:A50,IFERROR(SMALL(IF('Weekly Count'!N5:N50="⚠ ORDER",ROW('Weekly Count'!N5:N50)-ROW('Weekly Count'!N5)+1),7),0))),"")</f>
      </c>
      <c r="C34" s="67">
        <f>IFERROR(IF(IFERROR(SMALL(IF('Weekly Count'!N5:N50="⚠ ORDER",ROW('Weekly Count'!N5:N50)-ROW('Weekly Count'!N5)+1),7),0)=0,"",INDEX('Weekly Count'!I5:I50,IFERROR(SMALL(IF('Weekly Count'!N5:N50="⚠ ORDER",ROW('Weekly Count'!N5:N50)-ROW('Weekly Count'!N5)+1),7),0))),"")</f>
      </c>
      <c r="D34" s="68">
        <f>IFERROR(IF(IFERROR(SMALL(IF('Weekly Count'!N5:N50="⚠ ORDER",ROW('Weekly Count'!N5:N50)-ROW('Weekly Count'!N5)+1),7),0)=0,"",INDEX('Weekly Count'!J5:J50,IFERROR(SMALL(IF('Weekly Count'!N5:N50="⚠ ORDER",ROW('Weekly Count'!N5:N50)-ROW('Weekly Count'!N5)+1),7),0))),"")</f>
      </c>
      <c r="E34" s="66">
        <f>IFERROR(IF(IFERROR(SMALL(IF('Weekly Count'!N5:N50="⚠ ORDER",ROW('Weekly Count'!N5:N50)-ROW('Weekly Count'!N5)+1),7),0)=0,"",INDEX('Weekly Count'!E5:E50,IFERROR(SMALL(IF('Weekly Count'!N5:N50="⚠ ORDER",ROW('Weekly Count'!N5:N50)-ROW('Weekly Count'!N5)+1),7),0))),"")</f>
      </c>
    </row>
    <row r="35" ht="17" customHeight="1" spans="1:5" x14ac:dyDescent="0.25">
      <c r="A35" s="69">
        <f>IFERROR(IF(IFERROR(SMALL(IF('Weekly Count'!N5:N50="⚠ ORDER",ROW('Weekly Count'!N5:N50)-ROW('Weekly Count'!N5)+1),8),0)=0,"",INDEX('Weekly Count'!B5:B50,IFERROR(SMALL(IF('Weekly Count'!N5:N50="⚠ ORDER",ROW('Weekly Count'!N5:N50)-ROW('Weekly Count'!N5)+1),8),0))),"")</f>
      </c>
      <c r="B35" s="70">
        <f>IFERROR(IF(IFERROR(SMALL(IF('Weekly Count'!N5:N50="⚠ ORDER",ROW('Weekly Count'!N5:N50)-ROW('Weekly Count'!N5)+1),8),0)=0,"",INDEX('Weekly Count'!A5:A50,IFERROR(SMALL(IF('Weekly Count'!N5:N50="⚠ ORDER",ROW('Weekly Count'!N5:N50)-ROW('Weekly Count'!N5)+1),8),0))),"")</f>
      </c>
      <c r="C35" s="71">
        <f>IFERROR(IF(IFERROR(SMALL(IF('Weekly Count'!N5:N50="⚠ ORDER",ROW('Weekly Count'!N5:N50)-ROW('Weekly Count'!N5)+1),8),0)=0,"",INDEX('Weekly Count'!I5:I50,IFERROR(SMALL(IF('Weekly Count'!N5:N50="⚠ ORDER",ROW('Weekly Count'!N5:N50)-ROW('Weekly Count'!N5)+1),8),0))),"")</f>
      </c>
      <c r="D35" s="72">
        <f>IFERROR(IF(IFERROR(SMALL(IF('Weekly Count'!N5:N50="⚠ ORDER",ROW('Weekly Count'!N5:N50)-ROW('Weekly Count'!N5)+1),8),0)=0,"",INDEX('Weekly Count'!J5:J50,IFERROR(SMALL(IF('Weekly Count'!N5:N50="⚠ ORDER",ROW('Weekly Count'!N5:N50)-ROW('Weekly Count'!N5)+1),8),0))),"")</f>
      </c>
      <c r="E35" s="70">
        <f>IFERROR(IF(IFERROR(SMALL(IF('Weekly Count'!N5:N50="⚠ ORDER",ROW('Weekly Count'!N5:N50)-ROW('Weekly Count'!N5)+1),8),0)=0,"",INDEX('Weekly Count'!E5:E50,IFERROR(SMALL(IF('Weekly Count'!N5:N50="⚠ ORDER",ROW('Weekly Count'!N5:N50)-ROW('Weekly Count'!N5)+1),8),0))),"")</f>
      </c>
    </row>
    <row r="36" ht="17" customHeight="1" spans="1:5" x14ac:dyDescent="0.25">
      <c r="A36" s="50">
        <f>IFERROR(IF(IFERROR(SMALL(IF('Weekly Count'!N5:N50="⚠ ORDER",ROW('Weekly Count'!N5:N50)-ROW('Weekly Count'!N5)+1),9),0)=0,"",INDEX('Weekly Count'!B5:B50,IFERROR(SMALL(IF('Weekly Count'!N5:N50="⚠ ORDER",ROW('Weekly Count'!N5:N50)-ROW('Weekly Count'!N5)+1),9),0))),"")</f>
      </c>
      <c r="B36" s="66">
        <f>IFERROR(IF(IFERROR(SMALL(IF('Weekly Count'!N5:N50="⚠ ORDER",ROW('Weekly Count'!N5:N50)-ROW('Weekly Count'!N5)+1),9),0)=0,"",INDEX('Weekly Count'!A5:A50,IFERROR(SMALL(IF('Weekly Count'!N5:N50="⚠ ORDER",ROW('Weekly Count'!N5:N50)-ROW('Weekly Count'!N5)+1),9),0))),"")</f>
      </c>
      <c r="C36" s="67">
        <f>IFERROR(IF(IFERROR(SMALL(IF('Weekly Count'!N5:N50="⚠ ORDER",ROW('Weekly Count'!N5:N50)-ROW('Weekly Count'!N5)+1),9),0)=0,"",INDEX('Weekly Count'!I5:I50,IFERROR(SMALL(IF('Weekly Count'!N5:N50="⚠ ORDER",ROW('Weekly Count'!N5:N50)-ROW('Weekly Count'!N5)+1),9),0))),"")</f>
      </c>
      <c r="D36" s="68">
        <f>IFERROR(IF(IFERROR(SMALL(IF('Weekly Count'!N5:N50="⚠ ORDER",ROW('Weekly Count'!N5:N50)-ROW('Weekly Count'!N5)+1),9),0)=0,"",INDEX('Weekly Count'!J5:J50,IFERROR(SMALL(IF('Weekly Count'!N5:N50="⚠ ORDER",ROW('Weekly Count'!N5:N50)-ROW('Weekly Count'!N5)+1),9),0))),"")</f>
      </c>
      <c r="E36" s="66">
        <f>IFERROR(IF(IFERROR(SMALL(IF('Weekly Count'!N5:N50="⚠ ORDER",ROW('Weekly Count'!N5:N50)-ROW('Weekly Count'!N5)+1),9),0)=0,"",INDEX('Weekly Count'!E5:E50,IFERROR(SMALL(IF('Weekly Count'!N5:N50="⚠ ORDER",ROW('Weekly Count'!N5:N50)-ROW('Weekly Count'!N5)+1),9),0))),"")</f>
      </c>
    </row>
    <row r="37" ht="17" customHeight="1" spans="1:5" x14ac:dyDescent="0.25">
      <c r="A37" s="69">
        <f>IFERROR(IF(IFERROR(SMALL(IF('Weekly Count'!N5:N50="⚠ ORDER",ROW('Weekly Count'!N5:N50)-ROW('Weekly Count'!N5)+1),10),0)=0,"",INDEX('Weekly Count'!B5:B50,IFERROR(SMALL(IF('Weekly Count'!N5:N50="⚠ ORDER",ROW('Weekly Count'!N5:N50)-ROW('Weekly Count'!N5)+1),10),0))),"")</f>
      </c>
      <c r="B37" s="70">
        <f>IFERROR(IF(IFERROR(SMALL(IF('Weekly Count'!N5:N50="⚠ ORDER",ROW('Weekly Count'!N5:N50)-ROW('Weekly Count'!N5)+1),10),0)=0,"",INDEX('Weekly Count'!A5:A50,IFERROR(SMALL(IF('Weekly Count'!N5:N50="⚠ ORDER",ROW('Weekly Count'!N5:N50)-ROW('Weekly Count'!N5)+1),10),0))),"")</f>
      </c>
      <c r="C37" s="71">
        <f>IFERROR(IF(IFERROR(SMALL(IF('Weekly Count'!N5:N50="⚠ ORDER",ROW('Weekly Count'!N5:N50)-ROW('Weekly Count'!N5)+1),10),0)=0,"",INDEX('Weekly Count'!I5:I50,IFERROR(SMALL(IF('Weekly Count'!N5:N50="⚠ ORDER",ROW('Weekly Count'!N5:N50)-ROW('Weekly Count'!N5)+1),10),0))),"")</f>
      </c>
      <c r="D37" s="72">
        <f>IFERROR(IF(IFERROR(SMALL(IF('Weekly Count'!N5:N50="⚠ ORDER",ROW('Weekly Count'!N5:N50)-ROW('Weekly Count'!N5)+1),10),0)=0,"",INDEX('Weekly Count'!J5:J50,IFERROR(SMALL(IF('Weekly Count'!N5:N50="⚠ ORDER",ROW('Weekly Count'!N5:N50)-ROW('Weekly Count'!N5)+1),10),0))),"")</f>
      </c>
      <c r="E37" s="70">
        <f>IFERROR(IF(IFERROR(SMALL(IF('Weekly Count'!N5:N50="⚠ ORDER",ROW('Weekly Count'!N5:N50)-ROW('Weekly Count'!N5)+1),10),0)=0,"",INDEX('Weekly Count'!E5:E50,IFERROR(SMALL(IF('Weekly Count'!N5:N50="⚠ ORDER",ROW('Weekly Count'!N5:N50)-ROW('Weekly Count'!N5)+1),10),0))),"")</f>
      </c>
    </row>
    <row r="38" ht="17" customHeight="1" spans="1:5" x14ac:dyDescent="0.25">
      <c r="A38" s="50">
        <f>IFERROR(IF(IFERROR(SMALL(IF('Weekly Count'!N5:N50="⚠ ORDER",ROW('Weekly Count'!N5:N50)-ROW('Weekly Count'!N5)+1),11),0)=0,"",INDEX('Weekly Count'!B5:B50,IFERROR(SMALL(IF('Weekly Count'!N5:N50="⚠ ORDER",ROW('Weekly Count'!N5:N50)-ROW('Weekly Count'!N5)+1),11),0))),"")</f>
      </c>
      <c r="B38" s="66">
        <f>IFERROR(IF(IFERROR(SMALL(IF('Weekly Count'!N5:N50="⚠ ORDER",ROW('Weekly Count'!N5:N50)-ROW('Weekly Count'!N5)+1),11),0)=0,"",INDEX('Weekly Count'!A5:A50,IFERROR(SMALL(IF('Weekly Count'!N5:N50="⚠ ORDER",ROW('Weekly Count'!N5:N50)-ROW('Weekly Count'!N5)+1),11),0))),"")</f>
      </c>
      <c r="C38" s="67">
        <f>IFERROR(IF(IFERROR(SMALL(IF('Weekly Count'!N5:N50="⚠ ORDER",ROW('Weekly Count'!N5:N50)-ROW('Weekly Count'!N5)+1),11),0)=0,"",INDEX('Weekly Count'!I5:I50,IFERROR(SMALL(IF('Weekly Count'!N5:N50="⚠ ORDER",ROW('Weekly Count'!N5:N50)-ROW('Weekly Count'!N5)+1),11),0))),"")</f>
      </c>
      <c r="D38" s="68">
        <f>IFERROR(IF(IFERROR(SMALL(IF('Weekly Count'!N5:N50="⚠ ORDER",ROW('Weekly Count'!N5:N50)-ROW('Weekly Count'!N5)+1),11),0)=0,"",INDEX('Weekly Count'!J5:J50,IFERROR(SMALL(IF('Weekly Count'!N5:N50="⚠ ORDER",ROW('Weekly Count'!N5:N50)-ROW('Weekly Count'!N5)+1),11),0))),"")</f>
      </c>
      <c r="E38" s="66">
        <f>IFERROR(IF(IFERROR(SMALL(IF('Weekly Count'!N5:N50="⚠ ORDER",ROW('Weekly Count'!N5:N50)-ROW('Weekly Count'!N5)+1),11),0)=0,"",INDEX('Weekly Count'!E5:E50,IFERROR(SMALL(IF('Weekly Count'!N5:N50="⚠ ORDER",ROW('Weekly Count'!N5:N50)-ROW('Weekly Count'!N5)+1),11),0))),"")</f>
      </c>
    </row>
    <row r="39" ht="17" customHeight="1" spans="1:5" x14ac:dyDescent="0.25">
      <c r="A39" s="69">
        <f>IFERROR(IF(IFERROR(SMALL(IF('Weekly Count'!N5:N50="⚠ ORDER",ROW('Weekly Count'!N5:N50)-ROW('Weekly Count'!N5)+1),12),0)=0,"",INDEX('Weekly Count'!B5:B50,IFERROR(SMALL(IF('Weekly Count'!N5:N50="⚠ ORDER",ROW('Weekly Count'!N5:N50)-ROW('Weekly Count'!N5)+1),12),0))),"")</f>
      </c>
      <c r="B39" s="70">
        <f>IFERROR(IF(IFERROR(SMALL(IF('Weekly Count'!N5:N50="⚠ ORDER",ROW('Weekly Count'!N5:N50)-ROW('Weekly Count'!N5)+1),12),0)=0,"",INDEX('Weekly Count'!A5:A50,IFERROR(SMALL(IF('Weekly Count'!N5:N50="⚠ ORDER",ROW('Weekly Count'!N5:N50)-ROW('Weekly Count'!N5)+1),12),0))),"")</f>
      </c>
      <c r="C39" s="71">
        <f>IFERROR(IF(IFERROR(SMALL(IF('Weekly Count'!N5:N50="⚠ ORDER",ROW('Weekly Count'!N5:N50)-ROW('Weekly Count'!N5)+1),12),0)=0,"",INDEX('Weekly Count'!I5:I50,IFERROR(SMALL(IF('Weekly Count'!N5:N50="⚠ ORDER",ROW('Weekly Count'!N5:N50)-ROW('Weekly Count'!N5)+1),12),0))),"")</f>
      </c>
      <c r="D39" s="72">
        <f>IFERROR(IF(IFERROR(SMALL(IF('Weekly Count'!N5:N50="⚠ ORDER",ROW('Weekly Count'!N5:N50)-ROW('Weekly Count'!N5)+1),12),0)=0,"",INDEX('Weekly Count'!J5:J50,IFERROR(SMALL(IF('Weekly Count'!N5:N50="⚠ ORDER",ROW('Weekly Count'!N5:N50)-ROW('Weekly Count'!N5)+1),12),0))),"")</f>
      </c>
      <c r="E39" s="70">
        <f>IFERROR(IF(IFERROR(SMALL(IF('Weekly Count'!N5:N50="⚠ ORDER",ROW('Weekly Count'!N5:N50)-ROW('Weekly Count'!N5)+1),12),0)=0,"",INDEX('Weekly Count'!E5:E50,IFERROR(SMALL(IF('Weekly Count'!N5:N50="⚠ ORDER",ROW('Weekly Count'!N5:N50)-ROW('Weekly Count'!N5)+1),12),0))),"")</f>
      </c>
    </row>
    <row r="40" ht="17" customHeight="1" spans="1:5" x14ac:dyDescent="0.25">
      <c r="A40" s="50">
        <f>IFERROR(IF(IFERROR(SMALL(IF('Weekly Count'!N5:N50="⚠ ORDER",ROW('Weekly Count'!N5:N50)-ROW('Weekly Count'!N5)+1),13),0)=0,"",INDEX('Weekly Count'!B5:B50,IFERROR(SMALL(IF('Weekly Count'!N5:N50="⚠ ORDER",ROW('Weekly Count'!N5:N50)-ROW('Weekly Count'!N5)+1),13),0))),"")</f>
      </c>
      <c r="B40" s="66">
        <f>IFERROR(IF(IFERROR(SMALL(IF('Weekly Count'!N5:N50="⚠ ORDER",ROW('Weekly Count'!N5:N50)-ROW('Weekly Count'!N5)+1),13),0)=0,"",INDEX('Weekly Count'!A5:A50,IFERROR(SMALL(IF('Weekly Count'!N5:N50="⚠ ORDER",ROW('Weekly Count'!N5:N50)-ROW('Weekly Count'!N5)+1),13),0))),"")</f>
      </c>
      <c r="C40" s="67">
        <f>IFERROR(IF(IFERROR(SMALL(IF('Weekly Count'!N5:N50="⚠ ORDER",ROW('Weekly Count'!N5:N50)-ROW('Weekly Count'!N5)+1),13),0)=0,"",INDEX('Weekly Count'!I5:I50,IFERROR(SMALL(IF('Weekly Count'!N5:N50="⚠ ORDER",ROW('Weekly Count'!N5:N50)-ROW('Weekly Count'!N5)+1),13),0))),"")</f>
      </c>
      <c r="D40" s="68">
        <f>IFERROR(IF(IFERROR(SMALL(IF('Weekly Count'!N5:N50="⚠ ORDER",ROW('Weekly Count'!N5:N50)-ROW('Weekly Count'!N5)+1),13),0)=0,"",INDEX('Weekly Count'!J5:J50,IFERROR(SMALL(IF('Weekly Count'!N5:N50="⚠ ORDER",ROW('Weekly Count'!N5:N50)-ROW('Weekly Count'!N5)+1),13),0))),"")</f>
      </c>
      <c r="E40" s="66">
        <f>IFERROR(IF(IFERROR(SMALL(IF('Weekly Count'!N5:N50="⚠ ORDER",ROW('Weekly Count'!N5:N50)-ROW('Weekly Count'!N5)+1),13),0)=0,"",INDEX('Weekly Count'!E5:E50,IFERROR(SMALL(IF('Weekly Count'!N5:N50="⚠ ORDER",ROW('Weekly Count'!N5:N50)-ROW('Weekly Count'!N5)+1),13),0))),"")</f>
      </c>
    </row>
    <row r="41" ht="17" customHeight="1" spans="1:5" x14ac:dyDescent="0.25">
      <c r="A41" s="69">
        <f>IFERROR(IF(IFERROR(SMALL(IF('Weekly Count'!N5:N50="⚠ ORDER",ROW('Weekly Count'!N5:N50)-ROW('Weekly Count'!N5)+1),14),0)=0,"",INDEX('Weekly Count'!B5:B50,IFERROR(SMALL(IF('Weekly Count'!N5:N50="⚠ ORDER",ROW('Weekly Count'!N5:N50)-ROW('Weekly Count'!N5)+1),14),0))),"")</f>
      </c>
      <c r="B41" s="70">
        <f>IFERROR(IF(IFERROR(SMALL(IF('Weekly Count'!N5:N50="⚠ ORDER",ROW('Weekly Count'!N5:N50)-ROW('Weekly Count'!N5)+1),14),0)=0,"",INDEX('Weekly Count'!A5:A50,IFERROR(SMALL(IF('Weekly Count'!N5:N50="⚠ ORDER",ROW('Weekly Count'!N5:N50)-ROW('Weekly Count'!N5)+1),14),0))),"")</f>
      </c>
      <c r="C41" s="71">
        <f>IFERROR(IF(IFERROR(SMALL(IF('Weekly Count'!N5:N50="⚠ ORDER",ROW('Weekly Count'!N5:N50)-ROW('Weekly Count'!N5)+1),14),0)=0,"",INDEX('Weekly Count'!I5:I50,IFERROR(SMALL(IF('Weekly Count'!N5:N50="⚠ ORDER",ROW('Weekly Count'!N5:N50)-ROW('Weekly Count'!N5)+1),14),0))),"")</f>
      </c>
      <c r="D41" s="72">
        <f>IFERROR(IF(IFERROR(SMALL(IF('Weekly Count'!N5:N50="⚠ ORDER",ROW('Weekly Count'!N5:N50)-ROW('Weekly Count'!N5)+1),14),0)=0,"",INDEX('Weekly Count'!J5:J50,IFERROR(SMALL(IF('Weekly Count'!N5:N50="⚠ ORDER",ROW('Weekly Count'!N5:N50)-ROW('Weekly Count'!N5)+1),14),0))),"")</f>
      </c>
      <c r="E41" s="70">
        <f>IFERROR(IF(IFERROR(SMALL(IF('Weekly Count'!N5:N50="⚠ ORDER",ROW('Weekly Count'!N5:N50)-ROW('Weekly Count'!N5)+1),14),0)=0,"",INDEX('Weekly Count'!E5:E50,IFERROR(SMALL(IF('Weekly Count'!N5:N50="⚠ ORDER",ROW('Weekly Count'!N5:N50)-ROW('Weekly Count'!N5)+1),14),0))),"")</f>
      </c>
    </row>
    <row r="42" ht="17" customHeight="1" spans="1:5" x14ac:dyDescent="0.25">
      <c r="A42" s="50">
        <f>IFERROR(IF(IFERROR(SMALL(IF('Weekly Count'!N5:N50="⚠ ORDER",ROW('Weekly Count'!N5:N50)-ROW('Weekly Count'!N5)+1),15),0)=0,"",INDEX('Weekly Count'!B5:B50,IFERROR(SMALL(IF('Weekly Count'!N5:N50="⚠ ORDER",ROW('Weekly Count'!N5:N50)-ROW('Weekly Count'!N5)+1),15),0))),"")</f>
      </c>
      <c r="B42" s="66">
        <f>IFERROR(IF(IFERROR(SMALL(IF('Weekly Count'!N5:N50="⚠ ORDER",ROW('Weekly Count'!N5:N50)-ROW('Weekly Count'!N5)+1),15),0)=0,"",INDEX('Weekly Count'!A5:A50,IFERROR(SMALL(IF('Weekly Count'!N5:N50="⚠ ORDER",ROW('Weekly Count'!N5:N50)-ROW('Weekly Count'!N5)+1),15),0))),"")</f>
      </c>
      <c r="C42" s="67">
        <f>IFERROR(IF(IFERROR(SMALL(IF('Weekly Count'!N5:N50="⚠ ORDER",ROW('Weekly Count'!N5:N50)-ROW('Weekly Count'!N5)+1),15),0)=0,"",INDEX('Weekly Count'!I5:I50,IFERROR(SMALL(IF('Weekly Count'!N5:N50="⚠ ORDER",ROW('Weekly Count'!N5:N50)-ROW('Weekly Count'!N5)+1),15),0))),"")</f>
      </c>
      <c r="D42" s="68">
        <f>IFERROR(IF(IFERROR(SMALL(IF('Weekly Count'!N5:N50="⚠ ORDER",ROW('Weekly Count'!N5:N50)-ROW('Weekly Count'!N5)+1),15),0)=0,"",INDEX('Weekly Count'!J5:J50,IFERROR(SMALL(IF('Weekly Count'!N5:N50="⚠ ORDER",ROW('Weekly Count'!N5:N50)-ROW('Weekly Count'!N5)+1),15),0))),"")</f>
      </c>
      <c r="E42" s="66">
        <f>IFERROR(IF(IFERROR(SMALL(IF('Weekly Count'!N5:N50="⚠ ORDER",ROW('Weekly Count'!N5:N50)-ROW('Weekly Count'!N5)+1),15),0)=0,"",INDEX('Weekly Count'!E5:E50,IFERROR(SMALL(IF('Weekly Count'!N5:N50="⚠ ORDER",ROW('Weekly Count'!N5:N50)-ROW('Weekly Count'!N5)+1),15),0))),"")</f>
      </c>
    </row>
    <row r="43" ht="17" customHeight="1" spans="1:5" x14ac:dyDescent="0.25">
      <c r="A43" s="69">
        <f>IFERROR(IF(IFERROR(SMALL(IF('Weekly Count'!N5:N50="⚠ ORDER",ROW('Weekly Count'!N5:N50)-ROW('Weekly Count'!N5)+1),16),0)=0,"",INDEX('Weekly Count'!B5:B50,IFERROR(SMALL(IF('Weekly Count'!N5:N50="⚠ ORDER",ROW('Weekly Count'!N5:N50)-ROW('Weekly Count'!N5)+1),16),0))),"")</f>
      </c>
      <c r="B43" s="70">
        <f>IFERROR(IF(IFERROR(SMALL(IF('Weekly Count'!N5:N50="⚠ ORDER",ROW('Weekly Count'!N5:N50)-ROW('Weekly Count'!N5)+1),16),0)=0,"",INDEX('Weekly Count'!A5:A50,IFERROR(SMALL(IF('Weekly Count'!N5:N50="⚠ ORDER",ROW('Weekly Count'!N5:N50)-ROW('Weekly Count'!N5)+1),16),0))),"")</f>
      </c>
      <c r="C43" s="71">
        <f>IFERROR(IF(IFERROR(SMALL(IF('Weekly Count'!N5:N50="⚠ ORDER",ROW('Weekly Count'!N5:N50)-ROW('Weekly Count'!N5)+1),16),0)=0,"",INDEX('Weekly Count'!I5:I50,IFERROR(SMALL(IF('Weekly Count'!N5:N50="⚠ ORDER",ROW('Weekly Count'!N5:N50)-ROW('Weekly Count'!N5)+1),16),0))),"")</f>
      </c>
      <c r="D43" s="72">
        <f>IFERROR(IF(IFERROR(SMALL(IF('Weekly Count'!N5:N50="⚠ ORDER",ROW('Weekly Count'!N5:N50)-ROW('Weekly Count'!N5)+1),16),0)=0,"",INDEX('Weekly Count'!J5:J50,IFERROR(SMALL(IF('Weekly Count'!N5:N50="⚠ ORDER",ROW('Weekly Count'!N5:N50)-ROW('Weekly Count'!N5)+1),16),0))),"")</f>
      </c>
      <c r="E43" s="70">
        <f>IFERROR(IF(IFERROR(SMALL(IF('Weekly Count'!N5:N50="⚠ ORDER",ROW('Weekly Count'!N5:N50)-ROW('Weekly Count'!N5)+1),16),0)=0,"",INDEX('Weekly Count'!E5:E50,IFERROR(SMALL(IF('Weekly Count'!N5:N50="⚠ ORDER",ROW('Weekly Count'!N5:N50)-ROW('Weekly Count'!N5)+1),16),0))),"")</f>
      </c>
    </row>
    <row r="44" ht="17" customHeight="1" spans="1:5" x14ac:dyDescent="0.25">
      <c r="A44" s="50">
        <f>IFERROR(IF(IFERROR(SMALL(IF('Weekly Count'!N5:N50="⚠ ORDER",ROW('Weekly Count'!N5:N50)-ROW('Weekly Count'!N5)+1),17),0)=0,"",INDEX('Weekly Count'!B5:B50,IFERROR(SMALL(IF('Weekly Count'!N5:N50="⚠ ORDER",ROW('Weekly Count'!N5:N50)-ROW('Weekly Count'!N5)+1),17),0))),"")</f>
      </c>
      <c r="B44" s="66">
        <f>IFERROR(IF(IFERROR(SMALL(IF('Weekly Count'!N5:N50="⚠ ORDER",ROW('Weekly Count'!N5:N50)-ROW('Weekly Count'!N5)+1),17),0)=0,"",INDEX('Weekly Count'!A5:A50,IFERROR(SMALL(IF('Weekly Count'!N5:N50="⚠ ORDER",ROW('Weekly Count'!N5:N50)-ROW('Weekly Count'!N5)+1),17),0))),"")</f>
      </c>
      <c r="C44" s="67">
        <f>IFERROR(IF(IFERROR(SMALL(IF('Weekly Count'!N5:N50="⚠ ORDER",ROW('Weekly Count'!N5:N50)-ROW('Weekly Count'!N5)+1),17),0)=0,"",INDEX('Weekly Count'!I5:I50,IFERROR(SMALL(IF('Weekly Count'!N5:N50="⚠ ORDER",ROW('Weekly Count'!N5:N50)-ROW('Weekly Count'!N5)+1),17),0))),"")</f>
      </c>
      <c r="D44" s="68">
        <f>IFERROR(IF(IFERROR(SMALL(IF('Weekly Count'!N5:N50="⚠ ORDER",ROW('Weekly Count'!N5:N50)-ROW('Weekly Count'!N5)+1),17),0)=0,"",INDEX('Weekly Count'!J5:J50,IFERROR(SMALL(IF('Weekly Count'!N5:N50="⚠ ORDER",ROW('Weekly Count'!N5:N50)-ROW('Weekly Count'!N5)+1),17),0))),"")</f>
      </c>
      <c r="E44" s="66">
        <f>IFERROR(IF(IFERROR(SMALL(IF('Weekly Count'!N5:N50="⚠ ORDER",ROW('Weekly Count'!N5:N50)-ROW('Weekly Count'!N5)+1),17),0)=0,"",INDEX('Weekly Count'!E5:E50,IFERROR(SMALL(IF('Weekly Count'!N5:N50="⚠ ORDER",ROW('Weekly Count'!N5:N50)-ROW('Weekly Count'!N5)+1),17),0))),"")</f>
      </c>
    </row>
    <row r="45" ht="17" customHeight="1" spans="1:5" x14ac:dyDescent="0.25">
      <c r="A45" s="69">
        <f>IFERROR(IF(IFERROR(SMALL(IF('Weekly Count'!N5:N50="⚠ ORDER",ROW('Weekly Count'!N5:N50)-ROW('Weekly Count'!N5)+1),18),0)=0,"",INDEX('Weekly Count'!B5:B50,IFERROR(SMALL(IF('Weekly Count'!N5:N50="⚠ ORDER",ROW('Weekly Count'!N5:N50)-ROW('Weekly Count'!N5)+1),18),0))),"")</f>
      </c>
      <c r="B45" s="70">
        <f>IFERROR(IF(IFERROR(SMALL(IF('Weekly Count'!N5:N50="⚠ ORDER",ROW('Weekly Count'!N5:N50)-ROW('Weekly Count'!N5)+1),18),0)=0,"",INDEX('Weekly Count'!A5:A50,IFERROR(SMALL(IF('Weekly Count'!N5:N50="⚠ ORDER",ROW('Weekly Count'!N5:N50)-ROW('Weekly Count'!N5)+1),18),0))),"")</f>
      </c>
      <c r="C45" s="71">
        <f>IFERROR(IF(IFERROR(SMALL(IF('Weekly Count'!N5:N50="⚠ ORDER",ROW('Weekly Count'!N5:N50)-ROW('Weekly Count'!N5)+1),18),0)=0,"",INDEX('Weekly Count'!I5:I50,IFERROR(SMALL(IF('Weekly Count'!N5:N50="⚠ ORDER",ROW('Weekly Count'!N5:N50)-ROW('Weekly Count'!N5)+1),18),0))),"")</f>
      </c>
      <c r="D45" s="72">
        <f>IFERROR(IF(IFERROR(SMALL(IF('Weekly Count'!N5:N50="⚠ ORDER",ROW('Weekly Count'!N5:N50)-ROW('Weekly Count'!N5)+1),18),0)=0,"",INDEX('Weekly Count'!J5:J50,IFERROR(SMALL(IF('Weekly Count'!N5:N50="⚠ ORDER",ROW('Weekly Count'!N5:N50)-ROW('Weekly Count'!N5)+1),18),0))),"")</f>
      </c>
      <c r="E45" s="70">
        <f>IFERROR(IF(IFERROR(SMALL(IF('Weekly Count'!N5:N50="⚠ ORDER",ROW('Weekly Count'!N5:N50)-ROW('Weekly Count'!N5)+1),18),0)=0,"",INDEX('Weekly Count'!E5:E50,IFERROR(SMALL(IF('Weekly Count'!N5:N50="⚠ ORDER",ROW('Weekly Count'!N5:N50)-ROW('Weekly Count'!N5)+1),18),0))),"")</f>
      </c>
    </row>
    <row r="46" ht="17" customHeight="1" spans="1:5" x14ac:dyDescent="0.25">
      <c r="A46" s="50">
        <f>IFERROR(IF(IFERROR(SMALL(IF('Weekly Count'!N5:N50="⚠ ORDER",ROW('Weekly Count'!N5:N50)-ROW('Weekly Count'!N5)+1),19),0)=0,"",INDEX('Weekly Count'!B5:B50,IFERROR(SMALL(IF('Weekly Count'!N5:N50="⚠ ORDER",ROW('Weekly Count'!N5:N50)-ROW('Weekly Count'!N5)+1),19),0))),"")</f>
      </c>
      <c r="B46" s="66">
        <f>IFERROR(IF(IFERROR(SMALL(IF('Weekly Count'!N5:N50="⚠ ORDER",ROW('Weekly Count'!N5:N50)-ROW('Weekly Count'!N5)+1),19),0)=0,"",INDEX('Weekly Count'!A5:A50,IFERROR(SMALL(IF('Weekly Count'!N5:N50="⚠ ORDER",ROW('Weekly Count'!N5:N50)-ROW('Weekly Count'!N5)+1),19),0))),"")</f>
      </c>
      <c r="C46" s="67">
        <f>IFERROR(IF(IFERROR(SMALL(IF('Weekly Count'!N5:N50="⚠ ORDER",ROW('Weekly Count'!N5:N50)-ROW('Weekly Count'!N5)+1),19),0)=0,"",INDEX('Weekly Count'!I5:I50,IFERROR(SMALL(IF('Weekly Count'!N5:N50="⚠ ORDER",ROW('Weekly Count'!N5:N50)-ROW('Weekly Count'!N5)+1),19),0))),"")</f>
      </c>
      <c r="D46" s="68">
        <f>IFERROR(IF(IFERROR(SMALL(IF('Weekly Count'!N5:N50="⚠ ORDER",ROW('Weekly Count'!N5:N50)-ROW('Weekly Count'!N5)+1),19),0)=0,"",INDEX('Weekly Count'!J5:J50,IFERROR(SMALL(IF('Weekly Count'!N5:N50="⚠ ORDER",ROW('Weekly Count'!N5:N50)-ROW('Weekly Count'!N5)+1),19),0))),"")</f>
      </c>
      <c r="E46" s="66">
        <f>IFERROR(IF(IFERROR(SMALL(IF('Weekly Count'!N5:N50="⚠ ORDER",ROW('Weekly Count'!N5:N50)-ROW('Weekly Count'!N5)+1),19),0)=0,"",INDEX('Weekly Count'!E5:E50,IFERROR(SMALL(IF('Weekly Count'!N5:N50="⚠ ORDER",ROW('Weekly Count'!N5:N50)-ROW('Weekly Count'!N5)+1),19),0))),"")</f>
      </c>
    </row>
    <row r="47" ht="17" customHeight="1" spans="1:5" x14ac:dyDescent="0.25">
      <c r="A47" s="69">
        <f>IFERROR(IF(IFERROR(SMALL(IF('Weekly Count'!N5:N50="⚠ ORDER",ROW('Weekly Count'!N5:N50)-ROW('Weekly Count'!N5)+1),20),0)=0,"",INDEX('Weekly Count'!B5:B50,IFERROR(SMALL(IF('Weekly Count'!N5:N50="⚠ ORDER",ROW('Weekly Count'!N5:N50)-ROW('Weekly Count'!N5)+1),20),0))),"")</f>
      </c>
      <c r="B47" s="70">
        <f>IFERROR(IF(IFERROR(SMALL(IF('Weekly Count'!N5:N50="⚠ ORDER",ROW('Weekly Count'!N5:N50)-ROW('Weekly Count'!N5)+1),20),0)=0,"",INDEX('Weekly Count'!A5:A50,IFERROR(SMALL(IF('Weekly Count'!N5:N50="⚠ ORDER",ROW('Weekly Count'!N5:N50)-ROW('Weekly Count'!N5)+1),20),0))),"")</f>
      </c>
      <c r="C47" s="71">
        <f>IFERROR(IF(IFERROR(SMALL(IF('Weekly Count'!N5:N50="⚠ ORDER",ROW('Weekly Count'!N5:N50)-ROW('Weekly Count'!N5)+1),20),0)=0,"",INDEX('Weekly Count'!I5:I50,IFERROR(SMALL(IF('Weekly Count'!N5:N50="⚠ ORDER",ROW('Weekly Count'!N5:N50)-ROW('Weekly Count'!N5)+1),20),0))),"")</f>
      </c>
      <c r="D47" s="72">
        <f>IFERROR(IF(IFERROR(SMALL(IF('Weekly Count'!N5:N50="⚠ ORDER",ROW('Weekly Count'!N5:N50)-ROW('Weekly Count'!N5)+1),20),0)=0,"",INDEX('Weekly Count'!J5:J50,IFERROR(SMALL(IF('Weekly Count'!N5:N50="⚠ ORDER",ROW('Weekly Count'!N5:N50)-ROW('Weekly Count'!N5)+1),20),0))),"")</f>
      </c>
      <c r="E47" s="70">
        <f>IFERROR(IF(IFERROR(SMALL(IF('Weekly Count'!N5:N50="⚠ ORDER",ROW('Weekly Count'!N5:N50)-ROW('Weekly Count'!N5)+1),20),0)=0,"",INDEX('Weekly Count'!E5:E50,IFERROR(SMALL(IF('Weekly Count'!N5:N50="⚠ ORDER",ROW('Weekly Count'!N5:N50)-ROW('Weekly Count'!N5)+1),20),0))),"")</f>
      </c>
    </row>
    <row r="49" ht="12" customHeight="1" x14ac:dyDescent="0.25"/>
    <row r="50" spans="1:5" x14ac:dyDescent="0.25">
      <c r="A50" s="73" t="s">
        <v>129</v>
      </c>
      <c r="B50" s="73"/>
      <c r="C50" s="73"/>
      <c r="D50" s="73"/>
      <c r="E50" s="73"/>
    </row>
  </sheetData>
  <mergeCells count="17">
    <mergeCell ref="A1:E1"/>
    <mergeCell ref="A2:E2"/>
    <mergeCell ref="A4:B4"/>
    <mergeCell ref="C4:D4"/>
    <mergeCell ref="A5:B5"/>
    <mergeCell ref="C5:D5"/>
    <mergeCell ref="A7:B7"/>
    <mergeCell ref="C7:D7"/>
    <mergeCell ref="A8:B8"/>
    <mergeCell ref="C8:D8"/>
    <mergeCell ref="A10:B10"/>
    <mergeCell ref="C10:D10"/>
    <mergeCell ref="A11:B11"/>
    <mergeCell ref="C11:D11"/>
    <mergeCell ref="A14:E14"/>
    <mergeCell ref="A26:E26"/>
    <mergeCell ref="A50:E50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0BEC5"/>
  </sheetPr>
  <dimension ref="A1:A59"/>
  <sheetFormatPr defaultRowHeight="15" outlineLevelRow="0" outlineLevelCol="0" x14ac:dyDescent="55"/>
  <cols>
    <col min="1" max="1" width="90" customWidth="1"/>
  </cols>
  <sheetData>
    <row r="1" ht="20" customHeight="1" spans="1:1" x14ac:dyDescent="0.25">
      <c r="A1" s="74" t="s">
        <v>130</v>
      </c>
    </row>
    <row r="2" ht="8" customHeight="1" spans="1:1" x14ac:dyDescent="0.25">
      <c r="A2" s="75" t="s">
        <v>27</v>
      </c>
    </row>
    <row r="3" ht="20" customHeight="1" spans="1:1" x14ac:dyDescent="0.25">
      <c r="A3" s="76" t="s">
        <v>131</v>
      </c>
    </row>
    <row r="4" ht="20" customHeight="1" spans="1:1" x14ac:dyDescent="0.25">
      <c r="A4" s="77" t="s">
        <v>132</v>
      </c>
    </row>
    <row r="5" ht="20" customHeight="1" spans="1:1" x14ac:dyDescent="0.25">
      <c r="A5" s="77" t="s">
        <v>133</v>
      </c>
    </row>
    <row r="6" ht="20" customHeight="1" spans="1:1" x14ac:dyDescent="0.25">
      <c r="A6" s="77" t="s">
        <v>134</v>
      </c>
    </row>
    <row r="7" ht="20" customHeight="1" spans="1:1" x14ac:dyDescent="0.25">
      <c r="A7" s="77" t="s">
        <v>135</v>
      </c>
    </row>
    <row r="8" ht="20" customHeight="1" spans="1:1" x14ac:dyDescent="0.25">
      <c r="A8" s="77" t="s">
        <v>136</v>
      </c>
    </row>
    <row r="9" ht="20" customHeight="1" spans="1:1" x14ac:dyDescent="0.25">
      <c r="A9" s="77" t="s">
        <v>137</v>
      </c>
    </row>
    <row r="10" ht="20" customHeight="1" spans="1:1" x14ac:dyDescent="0.25">
      <c r="A10" s="77" t="s">
        <v>138</v>
      </c>
    </row>
    <row r="11" ht="8" customHeight="1" spans="1:1" x14ac:dyDescent="0.25">
      <c r="A11" s="75" t="s">
        <v>27</v>
      </c>
    </row>
    <row r="12" ht="20" customHeight="1" spans="1:1" x14ac:dyDescent="0.25">
      <c r="A12" s="76" t="s">
        <v>139</v>
      </c>
    </row>
    <row r="13" ht="20" customHeight="1" spans="1:1" x14ac:dyDescent="0.25">
      <c r="A13" s="77" t="s">
        <v>140</v>
      </c>
    </row>
    <row r="14" ht="20" customHeight="1" spans="1:1" x14ac:dyDescent="0.25">
      <c r="A14" s="77" t="s">
        <v>141</v>
      </c>
    </row>
    <row r="15" ht="20" customHeight="1" spans="1:1" x14ac:dyDescent="0.25">
      <c r="A15" s="77" t="s">
        <v>142</v>
      </c>
    </row>
    <row r="16" ht="20" customHeight="1" spans="1:1" x14ac:dyDescent="0.25">
      <c r="A16" s="77" t="s">
        <v>143</v>
      </c>
    </row>
    <row r="17" ht="20" customHeight="1" spans="1:1" x14ac:dyDescent="0.25">
      <c r="A17" s="77" t="s">
        <v>144</v>
      </c>
    </row>
    <row r="18" ht="20" customHeight="1" spans="1:1" x14ac:dyDescent="0.25">
      <c r="A18" s="77" t="s">
        <v>145</v>
      </c>
    </row>
    <row r="19" ht="20" customHeight="1" spans="1:1" x14ac:dyDescent="0.25">
      <c r="A19" s="77" t="s">
        <v>146</v>
      </c>
    </row>
    <row r="20" ht="20" customHeight="1" spans="1:1" x14ac:dyDescent="0.25">
      <c r="A20" s="77" t="s">
        <v>147</v>
      </c>
    </row>
    <row r="21" ht="8" customHeight="1" spans="1:1" x14ac:dyDescent="0.25">
      <c r="A21" s="75" t="s">
        <v>27</v>
      </c>
    </row>
    <row r="22" ht="20" customHeight="1" spans="1:1" x14ac:dyDescent="0.25">
      <c r="A22" s="78" t="s">
        <v>148</v>
      </c>
    </row>
    <row r="23" ht="20" customHeight="1" spans="1:1" x14ac:dyDescent="0.25">
      <c r="A23" s="75" t="s">
        <v>149</v>
      </c>
    </row>
    <row r="24" ht="8" customHeight="1" spans="1:1" x14ac:dyDescent="0.25">
      <c r="A24" s="75" t="s">
        <v>27</v>
      </c>
    </row>
    <row r="25" ht="20" customHeight="1" spans="1:1" x14ac:dyDescent="0.25">
      <c r="A25" s="78" t="s">
        <v>150</v>
      </c>
    </row>
    <row r="26" ht="20" customHeight="1" spans="1:1" x14ac:dyDescent="0.25">
      <c r="A26" s="75" t="s">
        <v>151</v>
      </c>
    </row>
    <row r="27" ht="8" customHeight="1" spans="1:1" x14ac:dyDescent="0.25">
      <c r="A27" s="75" t="s">
        <v>27</v>
      </c>
    </row>
    <row r="28" ht="20" customHeight="1" spans="1:1" x14ac:dyDescent="0.25">
      <c r="A28" s="78" t="s">
        <v>152</v>
      </c>
    </row>
    <row r="29" ht="20" customHeight="1" spans="1:1" x14ac:dyDescent="0.25">
      <c r="A29" s="75" t="s">
        <v>153</v>
      </c>
    </row>
    <row r="30" ht="8" customHeight="1" spans="1:1" x14ac:dyDescent="0.25">
      <c r="A30" s="75" t="s">
        <v>27</v>
      </c>
    </row>
    <row r="31" ht="20" customHeight="1" spans="1:1" x14ac:dyDescent="0.25">
      <c r="A31" s="78" t="s">
        <v>154</v>
      </c>
    </row>
    <row r="32" ht="20" customHeight="1" spans="1:1" x14ac:dyDescent="0.25">
      <c r="A32" s="75" t="s">
        <v>155</v>
      </c>
    </row>
    <row r="33" ht="8" customHeight="1" spans="1:1" x14ac:dyDescent="0.25">
      <c r="A33" s="75" t="s">
        <v>27</v>
      </c>
    </row>
    <row r="34" ht="20" customHeight="1" spans="1:1" x14ac:dyDescent="0.25">
      <c r="A34" s="78" t="s">
        <v>156</v>
      </c>
    </row>
    <row r="35" ht="20" customHeight="1" spans="1:1" x14ac:dyDescent="0.25">
      <c r="A35" s="75" t="s">
        <v>157</v>
      </c>
    </row>
    <row r="36" ht="8" customHeight="1" spans="1:1" x14ac:dyDescent="0.25">
      <c r="A36" s="75" t="s">
        <v>27</v>
      </c>
    </row>
    <row r="37" ht="20" customHeight="1" spans="1:1" x14ac:dyDescent="0.25">
      <c r="A37" s="78" t="s">
        <v>158</v>
      </c>
    </row>
    <row r="38" ht="20" customHeight="1" spans="1:1" x14ac:dyDescent="0.25">
      <c r="A38" s="75" t="s">
        <v>159</v>
      </c>
    </row>
    <row r="39" ht="8" customHeight="1" spans="1:1" x14ac:dyDescent="0.25">
      <c r="A39" s="75" t="s">
        <v>27</v>
      </c>
    </row>
    <row r="40" ht="20" customHeight="1" spans="1:1" x14ac:dyDescent="0.25">
      <c r="A40" s="78" t="s">
        <v>160</v>
      </c>
    </row>
    <row r="41" ht="20" customHeight="1" spans="1:1" x14ac:dyDescent="0.25">
      <c r="A41" s="75" t="s">
        <v>161</v>
      </c>
    </row>
    <row r="42" ht="8" customHeight="1" spans="1:1" x14ac:dyDescent="0.25">
      <c r="A42" s="75" t="s">
        <v>27</v>
      </c>
    </row>
    <row r="43" ht="20" customHeight="1" spans="1:1" x14ac:dyDescent="0.25">
      <c r="A43" s="78" t="s">
        <v>162</v>
      </c>
    </row>
    <row r="44" ht="20" customHeight="1" spans="1:1" x14ac:dyDescent="0.25">
      <c r="A44" s="75" t="s">
        <v>163</v>
      </c>
    </row>
    <row r="45" ht="8" customHeight="1" spans="1:1" x14ac:dyDescent="0.25">
      <c r="A45" s="75" t="s">
        <v>27</v>
      </c>
    </row>
    <row r="46" ht="20" customHeight="1" spans="1:1" x14ac:dyDescent="0.25">
      <c r="A46" s="76" t="s">
        <v>164</v>
      </c>
    </row>
    <row r="47" ht="20" customHeight="1" spans="1:1" x14ac:dyDescent="0.25">
      <c r="A47" s="79" t="s">
        <v>165</v>
      </c>
    </row>
    <row r="48" ht="20" customHeight="1" spans="1:1" x14ac:dyDescent="0.25">
      <c r="A48" s="77" t="s">
        <v>166</v>
      </c>
    </row>
    <row r="49" ht="20" customHeight="1" spans="1:1" x14ac:dyDescent="0.25">
      <c r="A49" s="77" t="s">
        <v>167</v>
      </c>
    </row>
    <row r="50" ht="20" customHeight="1" spans="1:1" x14ac:dyDescent="0.25">
      <c r="A50" s="77" t="s">
        <v>168</v>
      </c>
    </row>
    <row r="51" ht="20" customHeight="1" spans="1:1" x14ac:dyDescent="0.25">
      <c r="A51" s="77" t="s">
        <v>169</v>
      </c>
    </row>
    <row r="52" ht="8" customHeight="1" spans="1:1" x14ac:dyDescent="0.25">
      <c r="A52" s="75" t="s">
        <v>27</v>
      </c>
    </row>
    <row r="53" ht="20" customHeight="1" spans="1:1" x14ac:dyDescent="0.25">
      <c r="A53" s="76" t="s">
        <v>170</v>
      </c>
    </row>
    <row r="54" ht="20" customHeight="1" spans="1:1" x14ac:dyDescent="0.25">
      <c r="A54" s="80" t="s">
        <v>171</v>
      </c>
    </row>
    <row r="55" ht="20" customHeight="1" spans="1:1" x14ac:dyDescent="0.25">
      <c r="A55" s="75" t="s">
        <v>172</v>
      </c>
    </row>
    <row r="56" ht="8" customHeight="1" spans="1:1" x14ac:dyDescent="0.25">
      <c r="A56" s="75" t="s">
        <v>27</v>
      </c>
    </row>
    <row r="57" ht="20" customHeight="1" spans="1:1" x14ac:dyDescent="0.25">
      <c r="A57" s="76" t="s">
        <v>173</v>
      </c>
    </row>
    <row r="58" ht="20" customHeight="1" spans="1:1" x14ac:dyDescent="0.25">
      <c r="A58" s="75" t="s">
        <v>174</v>
      </c>
    </row>
    <row r="59" ht="20" customHeight="1" spans="1:1" x14ac:dyDescent="0.25">
      <c r="A59" s="79" t="s">
        <v>175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Weekly Count</vt:lpstr>
      <vt:lpstr>📊 Dashboard</vt:lpstr>
      <vt:lpstr>How to Use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ResLoom</dc:creator>
  <dc:title/>
  <dc:subject/>
  <dc:description/>
  <cp:keywords/>
  <cp:category/>
  <cp:lastModifiedBy>Unknown</cp:lastModifiedBy>
  <dcterms:created xsi:type="dcterms:W3CDTF">2026-04-16T19:46:52Z</dcterms:created>
  <dcterms:modified xsi:type="dcterms:W3CDTF">2026-04-16T19:46:52Z</dcterms:modified>
</cp:coreProperties>
</file>